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Thu Ha\Dropbox\VNTA\P.CSQH\Xây dựng VBQPPL\Sửa đổi Luật VT\2022\Ban Soạn thảo, Tổ biên tập\Hồ sơ trình Chính phủ\Bản final trình CP\"/>
    </mc:Choice>
  </mc:AlternateContent>
  <bookViews>
    <workbookView xWindow="0" yWindow="0" windowWidth="20490" windowHeight="7605" firstSheet="2" activeTab="2"/>
  </bookViews>
  <sheets>
    <sheet name="Issue_option" sheetId="1" state="hidden" r:id="rId1"/>
    <sheet name="Cost_benefit" sheetId="4" state="hidden" r:id="rId2"/>
    <sheet name="PL1-Dữ liệu" sheetId="20" r:id="rId3"/>
    <sheet name="PL2-Bảng tính" sheetId="50" r:id="rId4"/>
    <sheet name="Bảng hỏi" sheetId="43" state="hidden" r:id="rId5"/>
    <sheet name="PL3-VBPL" sheetId="46" r:id="rId6"/>
    <sheet name="Thời gian KTCN theo địa phương" sheetId="44" state="hidden" r:id="rId7"/>
    <sheet name="Forecast XK" sheetId="47" state="hidden" r:id="rId8"/>
    <sheet name="Forecast NK" sheetId="48" state="hidden" r:id="rId9"/>
    <sheet name="Vấn đề 2" sheetId="35" state="hidden" r:id="rId10"/>
    <sheet name="Van de 6(1)" sheetId="34" state="hidden" r:id="rId11"/>
  </sheets>
  <definedNames>
    <definedName name="_xlnm._FilterDatabase" localSheetId="3" hidden="1">'PL2-Bảng tính'!$A$1:$H$11</definedName>
    <definedName name="_Toc28701856" localSheetId="6">'Thời gian KTCN theo địa phương'!$A$1</definedName>
    <definedName name="_xlnm.Print_Area" localSheetId="2">'PL1-Dữ liệu'!$A$1:$F$24</definedName>
    <definedName name="_xlnm.Print_Area" localSheetId="3">'PL2-Bảng tính'!$A$1:$E$142</definedName>
    <definedName name="_xlnm.Print_Area" localSheetId="5">'PL3-VBPL'!$A$1:$E$13</definedName>
    <definedName name="_xlnm.Print_Area" localSheetId="9">'Vấn đề 2'!$A$1:$F$92</definedName>
    <definedName name="_xlnm.Print_Area" localSheetId="10">'Van de 6(1)'!$A$2:$O$89</definedName>
    <definedName name="_xlnm.Print_Titles" localSheetId="2">'PL1-Dữ liệu'!$A:$B,'PL1-Dữ liệu'!$2:$2</definedName>
    <definedName name="_xlnm.Print_Titles" localSheetId="3">'PL2-Bảng tính'!$A:$B,'PL2-Bảng tính'!$2:$2</definedName>
    <definedName name="_xlnm.Print_Titles" localSheetId="9">'Vấn đề 2'!$A:$C,'Vấn đề 2'!$1:$1</definedName>
    <definedName name="_xlnm.Print_Titles" localSheetId="10">'Van de 6(1)'!$A:$C,'Van de 6(1)'!$2:$2</definedName>
    <definedName name="solver_eng" localSheetId="5" hidden="1">1</definedName>
    <definedName name="solver_neg" localSheetId="5" hidden="1">1</definedName>
    <definedName name="solver_num" localSheetId="5" hidden="1">0</definedName>
    <definedName name="solver_opt" localSheetId="5" hidden="1">'PL3-VBPL'!#REF!</definedName>
    <definedName name="solver_typ" localSheetId="5" hidden="1">1</definedName>
    <definedName name="solver_val" localSheetId="5" hidden="1">0</definedName>
    <definedName name="solver_ver" localSheetId="5" hidden="1">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1" i="50" l="1"/>
  <c r="D134" i="50"/>
  <c r="D115" i="50"/>
  <c r="D22" i="50"/>
  <c r="D23" i="50" s="1"/>
  <c r="I24" i="20"/>
  <c r="D133" i="50"/>
  <c r="D132" i="50"/>
  <c r="D128" i="50"/>
  <c r="D136" i="50" s="1"/>
  <c r="D137" i="50"/>
  <c r="D129" i="50"/>
  <c r="D114" i="50"/>
  <c r="D113" i="50"/>
  <c r="D110" i="50"/>
  <c r="D109" i="50"/>
  <c r="D117" i="50" s="1"/>
  <c r="D118" i="50"/>
  <c r="D98" i="50"/>
  <c r="D97" i="50"/>
  <c r="D96" i="50"/>
  <c r="D95" i="50"/>
  <c r="D84" i="50"/>
  <c r="D73" i="50"/>
  <c r="D78" i="50"/>
  <c r="D74" i="50"/>
  <c r="D66" i="50"/>
  <c r="D62" i="50"/>
  <c r="D88" i="50" s="1"/>
  <c r="D61" i="50"/>
  <c r="D65" i="50" s="1"/>
  <c r="D112" i="50" l="1"/>
  <c r="D77" i="50"/>
  <c r="D70" i="50" l="1"/>
  <c r="D69" i="50" s="1"/>
  <c r="D52" i="50"/>
  <c r="D46" i="50"/>
  <c r="D44" i="50"/>
  <c r="D36" i="50"/>
  <c r="D22" i="20"/>
  <c r="D138" i="50" s="1"/>
  <c r="D135" i="50" s="1"/>
  <c r="D31" i="50"/>
  <c r="D11" i="46"/>
  <c r="D26" i="50"/>
  <c r="D24" i="50"/>
  <c r="D13" i="46"/>
  <c r="D21" i="20"/>
  <c r="D79" i="50" l="1"/>
  <c r="D76" i="50" s="1"/>
  <c r="D99" i="50"/>
  <c r="D94" i="50" s="1"/>
  <c r="D119" i="50"/>
  <c r="D116" i="50" s="1"/>
  <c r="D67" i="50"/>
  <c r="D64" i="50" s="1"/>
  <c r="D34" i="50"/>
  <c r="D30" i="50" s="1"/>
  <c r="D93" i="50"/>
  <c r="D90" i="50" s="1"/>
  <c r="D63" i="50"/>
  <c r="D60" i="50" s="1"/>
  <c r="D75" i="50"/>
  <c r="D72" i="50" s="1"/>
  <c r="D130" i="50"/>
  <c r="D127" i="50" s="1"/>
  <c r="D111" i="50"/>
  <c r="D108" i="50" s="1"/>
  <c r="D89" i="50"/>
  <c r="D86" i="50" s="1"/>
  <c r="D85" i="50"/>
  <c r="D82" i="50" s="1"/>
  <c r="D39" i="50"/>
  <c r="D35" i="50" s="1"/>
  <c r="D18" i="50"/>
  <c r="D10" i="46"/>
  <c r="D103" i="50" l="1"/>
  <c r="D102" i="50"/>
  <c r="G10" i="20"/>
  <c r="D10" i="20" s="1"/>
  <c r="G8" i="20"/>
  <c r="D4" i="20"/>
  <c r="D5" i="20" s="1"/>
  <c r="D6" i="20" s="1"/>
  <c r="D8" i="20" l="1"/>
  <c r="D25" i="50" s="1"/>
  <c r="D27" i="50"/>
  <c r="D47" i="50"/>
  <c r="D43" i="50"/>
  <c r="D15" i="50"/>
  <c r="D14" i="50" s="1"/>
  <c r="D11" i="50"/>
  <c r="D10" i="50"/>
  <c r="D7" i="50"/>
  <c r="D8" i="50"/>
  <c r="D9" i="50" l="1"/>
  <c r="D6" i="50" s="1"/>
  <c r="D5" i="50" s="1"/>
  <c r="D49" i="50" s="1"/>
  <c r="D55" i="50" s="1"/>
  <c r="D45" i="50"/>
  <c r="D41" i="50" s="1"/>
  <c r="D40" i="50" s="1"/>
  <c r="D51" i="50" s="1"/>
  <c r="D20" i="50"/>
  <c r="D19" i="50" s="1"/>
  <c r="D50" i="50" s="1"/>
  <c r="D5" i="46" l="1"/>
  <c r="D7" i="46"/>
  <c r="D4" i="46" l="1"/>
  <c r="C43" i="44"/>
  <c r="D43" i="44"/>
  <c r="E43" i="44"/>
  <c r="F43" i="44"/>
  <c r="G43" i="44"/>
  <c r="B44" i="44"/>
  <c r="C44" i="44"/>
  <c r="D44" i="44"/>
  <c r="E44" i="44"/>
  <c r="F44" i="44"/>
  <c r="G44" i="44"/>
  <c r="D120" i="50" l="1"/>
  <c r="D123" i="50" s="1"/>
  <c r="D139" i="50"/>
  <c r="D142" i="50" s="1"/>
  <c r="D100" i="50"/>
  <c r="D104" i="50" s="1"/>
  <c r="D29" i="50"/>
  <c r="D54" i="50" s="1"/>
  <c r="D57" i="50" s="1"/>
  <c r="D13" i="50"/>
  <c r="D53" i="50" s="1"/>
  <c r="D56" i="50" s="1"/>
  <c r="H8" i="48"/>
  <c r="C8" i="47"/>
  <c r="H5" i="47"/>
  <c r="C9" i="48"/>
  <c r="H4" i="48"/>
  <c r="H5" i="48"/>
  <c r="H4" i="47"/>
  <c r="H8" i="47"/>
  <c r="H2" i="47"/>
  <c r="H6" i="47"/>
  <c r="H3" i="48"/>
  <c r="H6" i="48"/>
  <c r="H7" i="48"/>
  <c r="C9" i="47"/>
  <c r="C8" i="48"/>
  <c r="H3" i="47"/>
  <c r="H7" i="47"/>
  <c r="H2" i="48"/>
  <c r="H41" i="44" l="1"/>
  <c r="E5" i="35"/>
  <c r="E68" i="35"/>
  <c r="E66" i="35"/>
  <c r="E88" i="35"/>
  <c r="E86" i="35"/>
  <c r="E51" i="35"/>
  <c r="E50" i="35"/>
  <c r="E7" i="35"/>
  <c r="E77" i="35"/>
  <c r="E92" i="35"/>
  <c r="E52" i="35"/>
  <c r="E53" i="35" s="1"/>
  <c r="E6" i="34"/>
  <c r="E7" i="34"/>
  <c r="E8" i="34"/>
  <c r="E9" i="34"/>
  <c r="E10" i="34"/>
  <c r="E11" i="34"/>
  <c r="E13" i="34"/>
  <c r="E14" i="34"/>
  <c r="E15" i="34"/>
  <c r="E16" i="34"/>
  <c r="E17" i="34"/>
  <c r="E18" i="34"/>
  <c r="E19" i="34"/>
  <c r="E22" i="34"/>
  <c r="E25" i="34"/>
  <c r="F25" i="34"/>
  <c r="G25" i="34"/>
  <c r="H25" i="34"/>
  <c r="I25" i="34"/>
  <c r="J25" i="34"/>
  <c r="K25" i="34"/>
  <c r="L25" i="34"/>
  <c r="M25" i="34"/>
  <c r="N25" i="34"/>
  <c r="O25" i="34"/>
  <c r="E32" i="34"/>
  <c r="E33" i="34"/>
  <c r="E34" i="34"/>
  <c r="E37" i="34"/>
  <c r="E39" i="34"/>
  <c r="E42" i="34"/>
  <c r="E43" i="34"/>
  <c r="E44" i="34"/>
  <c r="E45" i="34"/>
  <c r="E46" i="34"/>
  <c r="E55" i="34"/>
  <c r="E56" i="34"/>
  <c r="E57" i="34"/>
  <c r="E61" i="34"/>
  <c r="E62" i="34"/>
  <c r="E63" i="34"/>
  <c r="E64" i="34"/>
  <c r="E65" i="34"/>
  <c r="E74" i="34"/>
  <c r="E75" i="34"/>
  <c r="E76" i="34"/>
  <c r="E80" i="34"/>
  <c r="E81" i="34"/>
  <c r="E82" i="34"/>
  <c r="E83" i="34"/>
  <c r="E84" i="34"/>
  <c r="E72" i="35"/>
  <c r="E75" i="35"/>
  <c r="E55" i="35"/>
  <c r="E57" i="35"/>
  <c r="E56" i="35"/>
  <c r="E76" i="35"/>
  <c r="E8" i="48"/>
  <c r="D9" i="47"/>
  <c r="D8" i="47"/>
  <c r="D9" i="48"/>
  <c r="E9" i="47"/>
  <c r="E8" i="47"/>
  <c r="E9" i="48"/>
  <c r="D8" i="48"/>
  <c r="E49" i="35" l="1"/>
  <c r="I5" i="34"/>
  <c r="I24" i="34" s="1"/>
  <c r="I26" i="34" s="1"/>
  <c r="F36" i="34"/>
  <c r="G36" i="34" s="1"/>
  <c r="H36" i="34" s="1"/>
  <c r="I36" i="34" s="1"/>
  <c r="J36" i="34" s="1"/>
  <c r="K36" i="34" s="1"/>
  <c r="L36" i="34" s="1"/>
  <c r="M36" i="34" s="1"/>
  <c r="N36" i="34" s="1"/>
  <c r="O36" i="34" s="1"/>
  <c r="G54" i="34"/>
  <c r="G66" i="34" s="1"/>
  <c r="F54" i="34"/>
  <c r="F66" i="34" s="1"/>
  <c r="F31" i="34"/>
  <c r="G31" i="34"/>
  <c r="H31" i="34" s="1"/>
  <c r="G73" i="34"/>
  <c r="G5" i="34"/>
  <c r="F5" i="34"/>
  <c r="H5" i="34"/>
  <c r="F79" i="34"/>
  <c r="F60" i="34"/>
  <c r="F41" i="34"/>
  <c r="F73" i="34"/>
  <c r="F47" i="34" l="1"/>
  <c r="G47" i="34"/>
  <c r="J5" i="34"/>
  <c r="J24" i="34" s="1"/>
  <c r="J26" i="34" s="1"/>
  <c r="I27" i="34"/>
  <c r="E31" i="34"/>
  <c r="H54" i="34"/>
  <c r="I54" i="34" s="1"/>
  <c r="E36" i="34"/>
  <c r="E54" i="34"/>
  <c r="E66" i="34" s="1"/>
  <c r="E60" i="34"/>
  <c r="E67" i="34" s="1"/>
  <c r="G60" i="34"/>
  <c r="F67" i="34"/>
  <c r="F68" i="34" s="1"/>
  <c r="H24" i="34"/>
  <c r="H26" i="34" s="1"/>
  <c r="H27" i="34"/>
  <c r="H47" i="34"/>
  <c r="I31" i="34"/>
  <c r="E79" i="34"/>
  <c r="E86" i="34" s="1"/>
  <c r="F86" i="34"/>
  <c r="G79" i="34"/>
  <c r="H73" i="34"/>
  <c r="G85" i="34"/>
  <c r="F85" i="34"/>
  <c r="E73" i="34"/>
  <c r="E85" i="34" s="1"/>
  <c r="E41" i="34"/>
  <c r="E48" i="34" s="1"/>
  <c r="F48" i="34"/>
  <c r="G41" i="34"/>
  <c r="F27" i="34"/>
  <c r="E5" i="34"/>
  <c r="F24" i="34"/>
  <c r="F26" i="34" s="1"/>
  <c r="G24" i="34"/>
  <c r="G26" i="34" s="1"/>
  <c r="G27" i="34"/>
  <c r="J27" i="34" l="1"/>
  <c r="H66" i="34"/>
  <c r="K5" i="34"/>
  <c r="L5" i="34" s="1"/>
  <c r="F49" i="34"/>
  <c r="F51" i="34" s="1"/>
  <c r="E47" i="34"/>
  <c r="E49" i="34" s="1"/>
  <c r="E68" i="34"/>
  <c r="E70" i="34" s="1"/>
  <c r="E87" i="34"/>
  <c r="E88" i="34" s="1"/>
  <c r="E32" i="35"/>
  <c r="E27" i="35"/>
  <c r="E17" i="35"/>
  <c r="E59" i="35"/>
  <c r="E36" i="35"/>
  <c r="E25" i="35"/>
  <c r="E58" i="35"/>
  <c r="E28" i="35"/>
  <c r="E34" i="35"/>
  <c r="E33" i="35" s="1"/>
  <c r="E30" i="35"/>
  <c r="E41" i="35"/>
  <c r="E31" i="35"/>
  <c r="E19" i="35"/>
  <c r="E43" i="35"/>
  <c r="E11" i="35"/>
  <c r="E26" i="35"/>
  <c r="E37" i="35"/>
  <c r="E84" i="35"/>
  <c r="E42" i="35"/>
  <c r="E12" i="35"/>
  <c r="E80" i="35"/>
  <c r="E14" i="35"/>
  <c r="E46" i="35"/>
  <c r="E23" i="35"/>
  <c r="E10" i="35"/>
  <c r="E38" i="35"/>
  <c r="E15" i="35"/>
  <c r="E35" i="35"/>
  <c r="E45" i="35"/>
  <c r="E60" i="35"/>
  <c r="E78" i="35"/>
  <c r="E24" i="35"/>
  <c r="E13" i="35"/>
  <c r="E40" i="35"/>
  <c r="E39" i="35"/>
  <c r="E20" i="35"/>
  <c r="E79" i="35"/>
  <c r="E29" i="35"/>
  <c r="E16" i="35"/>
  <c r="E64" i="35"/>
  <c r="E44" i="35"/>
  <c r="E22" i="35"/>
  <c r="E18" i="35"/>
  <c r="G48" i="34"/>
  <c r="G49" i="34" s="1"/>
  <c r="H41" i="34"/>
  <c r="H85" i="34"/>
  <c r="I73" i="34"/>
  <c r="J31" i="34"/>
  <c r="I47" i="34"/>
  <c r="F69" i="34"/>
  <c r="F70" i="34"/>
  <c r="H79" i="34"/>
  <c r="G86" i="34"/>
  <c r="G87" i="34" s="1"/>
  <c r="H60" i="34"/>
  <c r="G67" i="34"/>
  <c r="G68" i="34" s="1"/>
  <c r="E27" i="34"/>
  <c r="E24" i="34"/>
  <c r="E26" i="34" s="1"/>
  <c r="F87" i="34"/>
  <c r="I66" i="34"/>
  <c r="J54" i="34"/>
  <c r="K24" i="34" l="1"/>
  <c r="K26" i="34" s="1"/>
  <c r="K27" i="34"/>
  <c r="F50" i="34"/>
  <c r="E89" i="34"/>
  <c r="E69" i="34"/>
  <c r="E50" i="34"/>
  <c r="E51" i="34"/>
  <c r="E74" i="35"/>
  <c r="E99" i="35" s="1"/>
  <c r="E21" i="35"/>
  <c r="E91" i="35" s="1"/>
  <c r="E54" i="35"/>
  <c r="E96" i="35" s="1"/>
  <c r="E9" i="35"/>
  <c r="E90" i="35" s="1"/>
  <c r="G70" i="34"/>
  <c r="G69" i="34"/>
  <c r="I41" i="34"/>
  <c r="H48" i="34"/>
  <c r="H49" i="34" s="1"/>
  <c r="J66" i="34"/>
  <c r="K54" i="34"/>
  <c r="I60" i="34"/>
  <c r="H67" i="34"/>
  <c r="H68" i="34" s="1"/>
  <c r="J47" i="34"/>
  <c r="K31" i="34"/>
  <c r="G51" i="34"/>
  <c r="G50" i="34"/>
  <c r="F89" i="34"/>
  <c r="F88" i="34"/>
  <c r="H86" i="34"/>
  <c r="H87" i="34" s="1"/>
  <c r="I79" i="34"/>
  <c r="G88" i="34"/>
  <c r="G89" i="34"/>
  <c r="I85" i="34"/>
  <c r="J73" i="34"/>
  <c r="L24" i="34"/>
  <c r="L26" i="34" s="1"/>
  <c r="L27" i="34"/>
  <c r="M5" i="34"/>
  <c r="E89" i="35" l="1"/>
  <c r="E100" i="35" s="1"/>
  <c r="E48" i="35"/>
  <c r="E70" i="35"/>
  <c r="E2" i="35"/>
  <c r="E94" i="35" s="1"/>
  <c r="E3" i="35"/>
  <c r="M24" i="34"/>
  <c r="M26" i="34" s="1"/>
  <c r="N5" i="34"/>
  <c r="M27" i="34"/>
  <c r="J79" i="34"/>
  <c r="I86" i="34"/>
  <c r="I87" i="34" s="1"/>
  <c r="H69" i="34"/>
  <c r="H70" i="34"/>
  <c r="H50" i="34"/>
  <c r="H51" i="34"/>
  <c r="J85" i="34"/>
  <c r="K73" i="34"/>
  <c r="H89" i="34"/>
  <c r="H88" i="34"/>
  <c r="I67" i="34"/>
  <c r="I68" i="34" s="1"/>
  <c r="J60" i="34"/>
  <c r="I48" i="34"/>
  <c r="I49" i="34" s="1"/>
  <c r="J41" i="34"/>
  <c r="K47" i="34"/>
  <c r="L31" i="34"/>
  <c r="L54" i="34"/>
  <c r="K66" i="34"/>
  <c r="E73" i="35" l="1"/>
  <c r="E98" i="35" s="1"/>
  <c r="E71" i="35"/>
  <c r="E69" i="35" s="1"/>
  <c r="E97" i="35" s="1"/>
  <c r="E95" i="35" s="1"/>
  <c r="I50" i="34"/>
  <c r="I51" i="34"/>
  <c r="K60" i="34"/>
  <c r="J67" i="34"/>
  <c r="J68" i="34" s="1"/>
  <c r="L73" i="34"/>
  <c r="K85" i="34"/>
  <c r="M31" i="34"/>
  <c r="L47" i="34"/>
  <c r="K79" i="34"/>
  <c r="J86" i="34"/>
  <c r="J87" i="34" s="1"/>
  <c r="I70" i="34"/>
  <c r="I69" i="34"/>
  <c r="N27" i="34"/>
  <c r="O5" i="34"/>
  <c r="N24" i="34"/>
  <c r="N26" i="34" s="1"/>
  <c r="L66" i="34"/>
  <c r="M54" i="34"/>
  <c r="J48" i="34"/>
  <c r="J49" i="34" s="1"/>
  <c r="K41" i="34"/>
  <c r="I89" i="34"/>
  <c r="I88" i="34"/>
  <c r="E47" i="35" l="1"/>
  <c r="M47" i="34"/>
  <c r="N31" i="34"/>
  <c r="K67" i="34"/>
  <c r="K68" i="34" s="1"/>
  <c r="L60" i="34"/>
  <c r="J51" i="34"/>
  <c r="J50" i="34"/>
  <c r="O27" i="34"/>
  <c r="O24" i="34"/>
  <c r="O26" i="34" s="1"/>
  <c r="J89" i="34"/>
  <c r="J88" i="34"/>
  <c r="J69" i="34"/>
  <c r="J70" i="34"/>
  <c r="K48" i="34"/>
  <c r="K49" i="34" s="1"/>
  <c r="L41" i="34"/>
  <c r="N54" i="34"/>
  <c r="M66" i="34"/>
  <c r="L79" i="34"/>
  <c r="K86" i="34"/>
  <c r="K87" i="34" s="1"/>
  <c r="L85" i="34"/>
  <c r="M73" i="34"/>
  <c r="K70" i="34" l="1"/>
  <c r="K69" i="34"/>
  <c r="L48" i="34"/>
  <c r="L49" i="34" s="1"/>
  <c r="M41" i="34"/>
  <c r="N47" i="34"/>
  <c r="O31" i="34"/>
  <c r="O47" i="34" s="1"/>
  <c r="N73" i="34"/>
  <c r="M85" i="34"/>
  <c r="L67" i="34"/>
  <c r="L68" i="34" s="1"/>
  <c r="M60" i="34"/>
  <c r="O54" i="34"/>
  <c r="O66" i="34" s="1"/>
  <c r="N66" i="34"/>
  <c r="K89" i="34"/>
  <c r="K88" i="34"/>
  <c r="M79" i="34"/>
  <c r="L86" i="34"/>
  <c r="L87" i="34" s="1"/>
  <c r="K50" i="34"/>
  <c r="K51" i="34"/>
  <c r="M48" i="34" l="1"/>
  <c r="M49" i="34" s="1"/>
  <c r="N41" i="34"/>
  <c r="N85" i="34"/>
  <c r="O73" i="34"/>
  <c r="O85" i="34" s="1"/>
  <c r="L51" i="34"/>
  <c r="L50" i="34"/>
  <c r="M86" i="34"/>
  <c r="M87" i="34" s="1"/>
  <c r="N79" i="34"/>
  <c r="N60" i="34"/>
  <c r="M67" i="34"/>
  <c r="M68" i="34" s="1"/>
  <c r="L89" i="34"/>
  <c r="L88" i="34"/>
  <c r="L70" i="34"/>
  <c r="L69" i="34"/>
  <c r="O79" i="34" l="1"/>
  <c r="O86" i="34" s="1"/>
  <c r="O87" i="34" s="1"/>
  <c r="N86" i="34"/>
  <c r="N87" i="34" s="1"/>
  <c r="M88" i="34"/>
  <c r="M89" i="34"/>
  <c r="M69" i="34"/>
  <c r="M70" i="34"/>
  <c r="N48" i="34"/>
  <c r="N49" i="34" s="1"/>
  <c r="O41" i="34"/>
  <c r="O48" i="34" s="1"/>
  <c r="O49" i="34" s="1"/>
  <c r="N67" i="34"/>
  <c r="N68" i="34" s="1"/>
  <c r="O60" i="34"/>
  <c r="O67" i="34" s="1"/>
  <c r="O68" i="34" s="1"/>
  <c r="M51" i="34"/>
  <c r="M50" i="34"/>
  <c r="O51" i="34" l="1"/>
  <c r="O50" i="34"/>
  <c r="N51" i="34"/>
  <c r="N50" i="34"/>
  <c r="O69" i="34"/>
  <c r="O70" i="34"/>
  <c r="N89" i="34"/>
  <c r="N88" i="34"/>
  <c r="N70" i="34"/>
  <c r="N69" i="34"/>
  <c r="O88" i="34"/>
  <c r="O89" i="34"/>
</calcChain>
</file>

<file path=xl/comments1.xml><?xml version="1.0" encoding="utf-8"?>
<comments xmlns="http://schemas.openxmlformats.org/spreadsheetml/2006/main">
  <authors>
    <author>Pham Nguyen Anh Thu</author>
  </authors>
  <commentList>
    <comment ref="G40" authorId="0" shapeId="0">
      <text>
        <r>
          <rPr>
            <b/>
            <sz val="9"/>
            <color indexed="81"/>
            <rFont val="Tahoma"/>
            <family val="2"/>
          </rPr>
          <t>Pham Nguyen Anh Thu:</t>
        </r>
        <r>
          <rPr>
            <sz val="9"/>
            <color indexed="81"/>
            <rFont val="Tahoma"/>
            <family val="2"/>
          </rPr>
          <t xml:space="preserve">
https://www.customs.gov.vn/Lists/ThongKeHaiQuan/ViewDetails.aspx?ID=1734&amp;Category=Ph%C3%A2n%20t%C3%ADch%20%C4%91%E1%BB%8Bnh%20k%E1%BB%B3&amp;Group=Gi%E1%BB%9Bi%20thi%E1%BB%87u</t>
        </r>
      </text>
    </comment>
  </commentList>
</comments>
</file>

<file path=xl/comments2.xml><?xml version="1.0" encoding="utf-8"?>
<comments xmlns="http://schemas.openxmlformats.org/spreadsheetml/2006/main">
  <authors>
    <author>PVo</author>
  </authors>
  <commentList>
    <comment ref="E66" authorId="0" shapeId="0">
      <text>
        <r>
          <rPr>
            <b/>
            <sz val="8"/>
            <color indexed="81"/>
            <rFont val="Tahoma"/>
            <family val="2"/>
          </rPr>
          <t>PVo:</t>
        </r>
        <r>
          <rPr>
            <sz val="8"/>
            <color indexed="81"/>
            <rFont val="Tahoma"/>
            <family val="2"/>
          </rPr>
          <t xml:space="preserve">
7 nguoi/bo * 24 bo
42 người o co quan khac, vd Quoc hoi, UBPD
</t>
        </r>
      </text>
    </comment>
    <comment ref="E86" authorId="0" shapeId="0">
      <text>
        <r>
          <rPr>
            <b/>
            <sz val="8"/>
            <color indexed="81"/>
            <rFont val="Tahoma"/>
            <family val="2"/>
          </rPr>
          <t>PVo:</t>
        </r>
        <r>
          <rPr>
            <sz val="8"/>
            <color indexed="81"/>
            <rFont val="Tahoma"/>
            <family val="2"/>
          </rPr>
          <t xml:space="preserve">
7 nguoi/bo * 24 bo
42 người o co quan khac, vd Quoc hoi, UBPD
</t>
        </r>
      </text>
    </comment>
  </commentList>
</comments>
</file>

<file path=xl/comments3.xml><?xml version="1.0" encoding="utf-8"?>
<comments xmlns="http://schemas.openxmlformats.org/spreadsheetml/2006/main">
  <authors>
    <author>PVo</author>
  </authors>
  <commentList>
    <comment ref="G21" authorId="0" shapeId="0">
      <text>
        <r>
          <rPr>
            <b/>
            <sz val="8"/>
            <color indexed="81"/>
            <rFont val="Tahoma"/>
            <family val="2"/>
          </rPr>
          <t>PVo:</t>
        </r>
        <r>
          <rPr>
            <sz val="8"/>
            <color indexed="81"/>
            <rFont val="Tahoma"/>
            <family val="2"/>
          </rPr>
          <t xml:space="preserve">
Ket qua cua De an 30</t>
        </r>
      </text>
    </comment>
    <comment ref="E46" authorId="0" shapeId="0">
      <text>
        <r>
          <rPr>
            <b/>
            <sz val="8"/>
            <color indexed="81"/>
            <rFont val="Tahoma"/>
            <family val="2"/>
          </rPr>
          <t>PVo:</t>
        </r>
        <r>
          <rPr>
            <sz val="8"/>
            <color indexed="81"/>
            <rFont val="Tahoma"/>
            <family val="2"/>
          </rPr>
          <t xml:space="preserve">
Cong % cac yeu to minh bach, chuan hoa, cai thien chat luong</t>
        </r>
      </text>
    </comment>
    <comment ref="E65" authorId="0" shapeId="0">
      <text>
        <r>
          <rPr>
            <b/>
            <sz val="8"/>
            <color indexed="81"/>
            <rFont val="Tahoma"/>
            <family val="2"/>
          </rPr>
          <t>PVo:</t>
        </r>
        <r>
          <rPr>
            <sz val="8"/>
            <color indexed="81"/>
            <rFont val="Tahoma"/>
            <family val="2"/>
          </rPr>
          <t xml:space="preserve">
Cong % cac yeu to minh bach, chuan hoa, cai thien chat luong</t>
        </r>
      </text>
    </comment>
    <comment ref="E84" authorId="0" shapeId="0">
      <text>
        <r>
          <rPr>
            <b/>
            <sz val="8"/>
            <color indexed="81"/>
            <rFont val="Tahoma"/>
            <family val="2"/>
          </rPr>
          <t>PVo:</t>
        </r>
        <r>
          <rPr>
            <sz val="8"/>
            <color indexed="81"/>
            <rFont val="Tahoma"/>
            <family val="2"/>
          </rPr>
          <t xml:space="preserve">
Cong % cac yeu to minh bach, chuan hoa, cai thien chat luong</t>
        </r>
      </text>
    </comment>
  </commentList>
</comments>
</file>

<file path=xl/sharedStrings.xml><?xml version="1.0" encoding="utf-8"?>
<sst xmlns="http://schemas.openxmlformats.org/spreadsheetml/2006/main" count="1373" uniqueCount="724">
  <si>
    <t>So sánh chi phí-lợi ích của các phương án</t>
  </si>
  <si>
    <t>Chi phí của Phương án 2A</t>
  </si>
  <si>
    <t>Chi phí của Phương án 2B</t>
  </si>
  <si>
    <t>Chi phí thuần (Chi phí - Lợi ích) của Phương án 2B</t>
  </si>
  <si>
    <t>Chi phí thuần (Chi phí - Lợi ích) của Phương án 2C</t>
  </si>
  <si>
    <t>Chi phí của Phương án 2C</t>
  </si>
  <si>
    <t>Lợi ích của Phương án 2C</t>
  </si>
  <si>
    <t xml:space="preserve">
Chi phí cho phương án 2A</t>
  </si>
  <si>
    <t>Lợi ích lớn hơn chi phí</t>
  </si>
  <si>
    <t>Lợi ích của Phương án 2B</t>
  </si>
  <si>
    <t xml:space="preserve">Phương án 2A: Giữ nguyên hiện trạng (Chương trình xây dựng luật, pháp lệnh nhiệm kỳ Quốc hội ( 5 năm), Chương trình xây dựng luật, pháp lệnh hằng năm </t>
  </si>
  <si>
    <t>Phương án 2B: Không có chương trình xây dựng luật, pháp lệnh nhiệm kỳ Quốc hội chỉ còn chương trình xây dựng luật, pháp lệnh hằng năm gắn với quy trình chính sách. Thành lập Hội đồng tư vấn chính sách, pháp luật của Chính phủ</t>
  </si>
  <si>
    <t>Phương án 2C: Không có chương trình xây dựng luật, pháp lệnh hằng năm và nhiệm kỳ Quốc hội; Chỉ có chương trình kỳ họp của Quốc hội. Thành lập Hội đồng tư vấn chính sách, pháp luật của Chính phủ</t>
  </si>
  <si>
    <t xml:space="preserve">
 - Nghị quyết liên tịch </t>
  </si>
  <si>
    <t xml:space="preserve">
 - Nghị quyết của Ủy ban Thường vụ Quốc hội</t>
  </si>
  <si>
    <t xml:space="preserve">
 - Quyết định của Thủ tướng Chính phủ</t>
  </si>
  <si>
    <t xml:space="preserve">
 - Thông tư của Viện trưởng Viện KSNDTC, Chánh án TANDTC</t>
  </si>
  <si>
    <t>2- Thiết lập một cơ quan kiểm soát: (1) csdl (2) hướng dẫn đăng ký (3) hướng dẫn, đôn đốc và trực tiếp rà soát thường kỳ (4) tiếp nhận xử lý kiến nghị (5) cho ý kiến trước khi Bộ địa phương ban hành TTHC về tính hợp lý và sự cần thiết (nhấn mạnh đến vai trò điều phối; các cơ quan liên quan, ví dụ như Bộ tư pháp vẫn sẽ thẩm định + Sở tư pháp vẫn thẩm định+phối hợp với các vụ chuyên ngành của VPCP thẩm tra các VB chứa đựng TTHC)</t>
  </si>
  <si>
    <t>4 - Thành lập cơ quan quản lý hệ thống cơ sở dữ liệu quốc gia + xử lý phản ánh kiến nghị theo Nghị định 20+ rà soát thường kỳ độc lập TTHC</t>
  </si>
  <si>
    <t>Thiếu chia xẻ thông tin giữa các cơ quan trong quá trình banh hành và thực hiện TTHC (5)</t>
  </si>
  <si>
    <t xml:space="preserve">(*) Thiết lập cơ sở dữ liệu quốc gia về TTHC và các phản ánh kiến nghị  = Giúp chia sẻ thông tin giữa các cơ quan </t>
  </si>
  <si>
    <t xml:space="preserve">(*) Pá 2 + chế tài mạnh hơn </t>
  </si>
  <si>
    <t>(*) Thiết lập HĐTV cải cách TTHC như một cơ chế thường xuyên và cố định để tham vấn về TTHC</t>
  </si>
  <si>
    <t>(*) Pá 3+ Thiết lập cổng thông tin tham vấn tập trung về TTHC trước khi ban hành</t>
  </si>
  <si>
    <t xml:space="preserve">(*) Thiết lập cơ sở dữ liệu quốc gia về TTHC và các phản ánh kiến nghị sau khi thực hiện TTHC  </t>
  </si>
  <si>
    <t>(*) Pá 2 + Pá 4</t>
  </si>
  <si>
    <t>(*) RIA cho văn bản quy phạm pháp luật có TTHC ở địa phương và bộ</t>
  </si>
  <si>
    <t>(*) RIA cho văn bản pháp luật có TTHC ở địa phương và bộ</t>
  </si>
  <si>
    <t xml:space="preserve">(*) Tăng cường chế tài </t>
  </si>
  <si>
    <t>(*) Đào tạo, bồi dưỡng</t>
  </si>
  <si>
    <t>(*) Pá 2+Pá 3</t>
  </si>
  <si>
    <t>(*) Pá 2+3+4</t>
  </si>
  <si>
    <t>(*) Rà soát định kỳ sau 1 năm</t>
  </si>
  <si>
    <t>(*) Pá 2+4</t>
  </si>
  <si>
    <t>(*) Pá 3+4</t>
  </si>
  <si>
    <t>(*) Rà soát khi có phản ánh, kiến nghị và theo yêu cầu quản lý</t>
  </si>
  <si>
    <t>Thiếu qui định rõ ràng về trách nhiệm của cơ quan và cá nhân trong thực hiện TTHC</t>
  </si>
  <si>
    <t>(*) Qui định rõ trách nhiệm của cơ quan, người đứng đầu và cán bộ trực tiếp thực hiện</t>
  </si>
  <si>
    <t xml:space="preserve">(*) Qui định và Chế tài và thi đua khen thưởng </t>
  </si>
  <si>
    <t>(*) Chế tài và thực thi chế tài</t>
  </si>
  <si>
    <t>Chưa có qui định về rà soát định kỳ, thường xuyên TTHC (9)</t>
  </si>
  <si>
    <t xml:space="preserve"> Thái độ phục vụ và năng lực cán bộ còn hạn chế  </t>
  </si>
  <si>
    <t xml:space="preserve">Promulgation authority not defined clearly (1) promulgation authority is scattered at various levels </t>
  </si>
  <si>
    <t>(*) Narrow promulgation authority, i.e. district and commune authorities are not allow to stipulate/create administrative procedures</t>
  </si>
  <si>
    <t xml:space="preserve">(*) Option 2 but AP needs to be promulgated in form of a legal normative document </t>
  </si>
  <si>
    <t>(*) Status quo but AP needs to be promulgated in form of a legal normative document</t>
  </si>
  <si>
    <t>Insufficient inventory of administrative procedures (2)</t>
  </si>
  <si>
    <t>(*) Status quo = inventory is not conducted</t>
  </si>
  <si>
    <t xml:space="preserve">(*) Conduct inventory + Establish a national database </t>
  </si>
  <si>
    <t xml:space="preserve">(*) Conduct inventory + Establish a legitimate national database </t>
  </si>
  <si>
    <t xml:space="preserve">(*) APs need to be registered by their promulgating agency </t>
  </si>
  <si>
    <t>- Unclear regulations on the publishing of AP (both in terms of contents and forms), causing obstacles to the goal of ensuring timely, effective and sufficient publicization of APs (3)</t>
  </si>
  <si>
    <t xml:space="preserve">(*) Determine on how to publish </t>
  </si>
  <si>
    <t>(-) Binding into books</t>
  </si>
  <si>
    <t>(-) Electronic</t>
  </si>
  <si>
    <t>(-) Newspaper</t>
  </si>
  <si>
    <t>(-) Combination of the three</t>
  </si>
  <si>
    <t>+ Lack of controlling and monitoring agency (4)</t>
  </si>
  <si>
    <t xml:space="preserve">(*) Establish an controlling and monitoring agency (with an emphasis on coordinating function, e.g. MOJ will continue to appraise + Provincial Department of Justice will also continue to appraise + Controlling Agency will only give its opinions towards the legal documents issued by local and ministerial levels) + register APs in the national database + conduct periodic review </t>
  </si>
  <si>
    <t>(*) Establish a coordinating agency in charge of controlling and appraising</t>
  </si>
  <si>
    <t xml:space="preserve">(*) Establish a coordinating agency specialized in managing the national database </t>
  </si>
  <si>
    <t>Lack of coordination among agencies in issuing and implementing APs (5)</t>
  </si>
  <si>
    <t xml:space="preserve">(*) Status quo = Law on Laws with partial revisions </t>
  </si>
  <si>
    <t xml:space="preserve">(*) Establish a database and a system for handling feedbacks = Help share information with drafting agency </t>
  </si>
  <si>
    <t>- Lack of consultation (6)</t>
  </si>
  <si>
    <t>Insufficient assessment on the necessity and reasonableness of APs when they are promulgated and reviewed (7)</t>
  </si>
  <si>
    <t xml:space="preserve">(*) Conduct RIA for all documents with AP </t>
  </si>
  <si>
    <t xml:space="preserve">(*) Conduct RIA for legal normative documents with AP  </t>
  </si>
  <si>
    <r>
      <t xml:space="preserve">Lack of proactivity in proposing reforms </t>
    </r>
    <r>
      <rPr>
        <sz val="12"/>
        <rFont val="Times New Roman"/>
        <family val="1"/>
      </rPr>
      <t xml:space="preserve"> (8) + (10)</t>
    </r>
  </si>
  <si>
    <t>(*) Incorporate into the criteria for emulation and awarding</t>
  </si>
  <si>
    <t>Lack of accountability for regular review (9)</t>
  </si>
  <si>
    <t xml:space="preserve">(*) Periodically review after every 3 years </t>
  </si>
  <si>
    <t xml:space="preserve">(*) Review when petitions and complaints arise </t>
  </si>
  <si>
    <t xml:space="preserve">3 groups: Promulgation + Implementation + Monitoring </t>
  </si>
  <si>
    <t>Monitoring</t>
  </si>
  <si>
    <t>Participating</t>
  </si>
  <si>
    <t>Meeting requirements</t>
  </si>
  <si>
    <t>Complaince cost</t>
  </si>
  <si>
    <t>Risks</t>
  </si>
  <si>
    <t>Higher level of compliance</t>
  </si>
  <si>
    <t>Better quality -administrative procedures</t>
  </si>
  <si>
    <t>Efficient Implementation of AP (quickly &amp; timely)</t>
  </si>
  <si>
    <t xml:space="preserve">Costs for State budget </t>
  </si>
  <si>
    <t>Achieve governance objectives</t>
  </si>
  <si>
    <t>Quality AP</t>
  </si>
  <si>
    <t>Updated database</t>
  </si>
  <si>
    <t>Democracy</t>
  </si>
  <si>
    <t>Reduce costs for businesses and citizens</t>
  </si>
  <si>
    <t>Efficiency and Effectiveness of state management</t>
  </si>
  <si>
    <t>Sustainability</t>
  </si>
  <si>
    <t>Support the enforcement of Law on Laws</t>
  </si>
  <si>
    <t>1- Status quo = không ai thống kê</t>
  </si>
  <si>
    <t>VND</t>
  </si>
  <si>
    <t xml:space="preserve"> </t>
  </si>
  <si>
    <t>Amount</t>
  </si>
  <si>
    <t>REVIEW</t>
  </si>
  <si>
    <t>PLUG No</t>
  </si>
  <si>
    <t>QUESTION</t>
  </si>
  <si>
    <t>%</t>
  </si>
  <si>
    <t>1000 VND</t>
  </si>
  <si>
    <t>Docs
Văn bản</t>
  </si>
  <si>
    <r>
      <t xml:space="preserve">Unit 
</t>
    </r>
    <r>
      <rPr>
        <b/>
        <sz val="10"/>
        <color indexed="12"/>
        <rFont val="Times New Roman"/>
        <family val="1"/>
      </rPr>
      <t>Đơn vị</t>
    </r>
  </si>
  <si>
    <r>
      <t xml:space="preserve">Person
</t>
    </r>
    <r>
      <rPr>
        <sz val="10"/>
        <color indexed="12"/>
        <rFont val="Times New Roman"/>
        <family val="1"/>
      </rPr>
      <t>Người</t>
    </r>
  </si>
  <si>
    <t xml:space="preserve">2007 GDP </t>
  </si>
  <si>
    <r>
      <t xml:space="preserve">% of GDP increase thanks to regulatory reform </t>
    </r>
    <r>
      <rPr>
        <sz val="10"/>
        <color indexed="12"/>
        <rFont val="Times New Roman"/>
        <family val="1"/>
      </rPr>
      <t xml:space="preserve">
% GDP tăng nhờ cải cách thể chế </t>
    </r>
  </si>
  <si>
    <r>
      <t xml:space="preserve">% of GDP increase annually  </t>
    </r>
    <r>
      <rPr>
        <sz val="10"/>
        <color indexed="12"/>
        <rFont val="Times New Roman"/>
        <family val="1"/>
      </rPr>
      <t xml:space="preserve">
% GDP tăng hàng năm </t>
    </r>
  </si>
  <si>
    <r>
      <t xml:space="preserve">Increase GDP thanks to regulatory reform (5% of GDP) </t>
    </r>
    <r>
      <rPr>
        <i/>
        <sz val="10"/>
        <color indexed="12"/>
        <rFont val="Times New Roman"/>
        <family val="1"/>
      </rPr>
      <t xml:space="preserve">
Tăng trưởng GDP nhờ vào cải cách thể chế (5% GDP)</t>
    </r>
  </si>
  <si>
    <r>
      <rPr>
        <sz val="10"/>
        <color indexed="8"/>
        <rFont val="Times New Roman"/>
        <family val="1"/>
      </rPr>
      <t>% cost for appraisal of impact assessment for APs/cost of RIA</t>
    </r>
    <r>
      <rPr>
        <sz val="10"/>
        <color indexed="12"/>
        <rFont val="Times New Roman"/>
        <family val="1"/>
      </rPr>
      <t xml:space="preserve">
% chi phí thẩm định đánh giá tác động TTHC/chi phí RIA đầy đủ</t>
    </r>
  </si>
  <si>
    <r>
      <t xml:space="preserve">Cost for one full RIA for a regulation
</t>
    </r>
    <r>
      <rPr>
        <sz val="10"/>
        <color indexed="12"/>
        <rFont val="Times New Roman"/>
        <family val="1"/>
      </rPr>
      <t>Chi phí thực hiện đánh giá tác động đầy đủ cho 1 quy định</t>
    </r>
  </si>
  <si>
    <r>
      <t xml:space="preserve">Expenses for Options of Issue 6
</t>
    </r>
    <r>
      <rPr>
        <b/>
        <sz val="10"/>
        <color indexed="12"/>
        <rFont val="Times New Roman"/>
        <family val="1"/>
      </rPr>
      <t>Chi phí của các Phương án cho Vấn đề 6</t>
    </r>
  </si>
  <si>
    <r>
      <t xml:space="preserve">Status Quo: No control agency
</t>
    </r>
    <r>
      <rPr>
        <b/>
        <sz val="10"/>
        <color indexed="12"/>
        <rFont val="Times New Roman"/>
        <family val="1"/>
      </rPr>
      <t>Hiện trạng: Không có cơ quan kiểm soát</t>
    </r>
  </si>
  <si>
    <t>6A</t>
  </si>
  <si>
    <r>
      <t xml:space="preserve">Cost for government to establish mornitoring agency
</t>
    </r>
    <r>
      <rPr>
        <i/>
        <sz val="10"/>
        <color indexed="12"/>
        <rFont val="Times New Roman"/>
        <family val="1"/>
      </rPr>
      <t>Chi phí cho chính phủ thành lập cơ quan giám sát</t>
    </r>
  </si>
  <si>
    <r>
      <t xml:space="preserve">Equipment, cost per staff
</t>
    </r>
    <r>
      <rPr>
        <sz val="10"/>
        <color indexed="12"/>
        <rFont val="Times New Roman"/>
        <family val="1"/>
      </rPr>
      <t>Chi phí thiết bị làm việc/nhân viên</t>
    </r>
  </si>
  <si>
    <r>
      <t xml:space="preserve">Number of staff needed 
</t>
    </r>
    <r>
      <rPr>
        <sz val="10"/>
        <color indexed="12"/>
        <rFont val="Times New Roman"/>
        <family val="1"/>
      </rPr>
      <t>Số lượng cán bộ của cơ quan giám sát</t>
    </r>
  </si>
  <si>
    <r>
      <t xml:space="preserve">Salary per year for 1 staff  (VND15,625/hour)
</t>
    </r>
    <r>
      <rPr>
        <sz val="10"/>
        <color indexed="12"/>
        <rFont val="Times New Roman"/>
        <family val="1"/>
      </rPr>
      <t>Lương cho 1 cán bộ trong 1 năm (15.625đ/giờ)</t>
    </r>
  </si>
  <si>
    <r>
      <t xml:space="preserve">Office rental for institution per year 
</t>
    </r>
    <r>
      <rPr>
        <sz val="10"/>
        <color indexed="12"/>
        <rFont val="Times New Roman"/>
        <family val="1"/>
      </rPr>
      <t>Chi phí thuê văn phòng/năm</t>
    </r>
  </si>
  <si>
    <t>6B</t>
  </si>
  <si>
    <t>6C</t>
  </si>
  <si>
    <t>6D</t>
  </si>
  <si>
    <r>
      <t xml:space="preserve">Agency w/ 3 functions: manage database, review, process petition 
</t>
    </r>
    <r>
      <rPr>
        <b/>
        <sz val="10"/>
        <color indexed="12"/>
        <rFont val="Times New Roman"/>
        <family val="1"/>
      </rPr>
      <t>Cơ quan có 3 chức năng: quản lý CSDL, rà soát, xử lý kiến nghị</t>
    </r>
  </si>
  <si>
    <r>
      <t xml:space="preserve">% contribution thanks to reduction of unfeasible APs
</t>
    </r>
    <r>
      <rPr>
        <sz val="10"/>
        <color indexed="12"/>
        <rFont val="Times New Roman"/>
        <family val="1"/>
      </rPr>
      <t>% đóng góp nhờ loại bỏ TTHC không khả thi</t>
    </r>
  </si>
  <si>
    <t>Phương án</t>
  </si>
  <si>
    <r>
      <t>Total</t>
    </r>
    <r>
      <rPr>
        <b/>
        <sz val="10"/>
        <color indexed="12"/>
        <rFont val="Times New Roman"/>
        <family val="1"/>
      </rPr>
      <t xml:space="preserve">
Tổng</t>
    </r>
  </si>
  <si>
    <r>
      <t xml:space="preserve">Year 1
</t>
    </r>
    <r>
      <rPr>
        <b/>
        <sz val="10"/>
        <color indexed="12"/>
        <rFont val="Times New Roman"/>
        <family val="1"/>
      </rPr>
      <t>Năm 1</t>
    </r>
  </si>
  <si>
    <r>
      <t xml:space="preserve">Year 2
</t>
    </r>
    <r>
      <rPr>
        <b/>
        <sz val="10"/>
        <color indexed="12"/>
        <rFont val="Times New Roman"/>
        <family val="1"/>
      </rPr>
      <t>Năm 2</t>
    </r>
  </si>
  <si>
    <r>
      <t xml:space="preserve">Year 3
</t>
    </r>
    <r>
      <rPr>
        <b/>
        <sz val="10"/>
        <color indexed="12"/>
        <rFont val="Times New Roman"/>
        <family val="1"/>
      </rPr>
      <t>Năm 3</t>
    </r>
  </si>
  <si>
    <r>
      <t xml:space="preserve">Year 4
</t>
    </r>
    <r>
      <rPr>
        <b/>
        <sz val="10"/>
        <color indexed="12"/>
        <rFont val="Times New Roman"/>
        <family val="1"/>
      </rPr>
      <t>Năm 4</t>
    </r>
  </si>
  <si>
    <r>
      <t xml:space="preserve">Year 5
</t>
    </r>
    <r>
      <rPr>
        <b/>
        <sz val="10"/>
        <color indexed="12"/>
        <rFont val="Times New Roman"/>
        <family val="1"/>
      </rPr>
      <t>Năm 5</t>
    </r>
  </si>
  <si>
    <r>
      <t xml:space="preserve">Year 6
</t>
    </r>
    <r>
      <rPr>
        <b/>
        <sz val="10"/>
        <color indexed="12"/>
        <rFont val="Times New Roman"/>
        <family val="1"/>
      </rPr>
      <t>Năm 6</t>
    </r>
  </si>
  <si>
    <r>
      <t>Year 7</t>
    </r>
    <r>
      <rPr>
        <b/>
        <sz val="10"/>
        <color indexed="12"/>
        <rFont val="Times New Roman"/>
        <family val="1"/>
      </rPr>
      <t xml:space="preserve">
Năm 7</t>
    </r>
  </si>
  <si>
    <r>
      <t xml:space="preserve">Year 8
</t>
    </r>
    <r>
      <rPr>
        <b/>
        <sz val="10"/>
        <color indexed="12"/>
        <rFont val="Times New Roman"/>
        <family val="1"/>
      </rPr>
      <t>Năm 8</t>
    </r>
  </si>
  <si>
    <r>
      <t xml:space="preserve">Year 9
</t>
    </r>
    <r>
      <rPr>
        <b/>
        <sz val="10"/>
        <color indexed="12"/>
        <rFont val="Times New Roman"/>
        <family val="1"/>
      </rPr>
      <t>Năm 9</t>
    </r>
  </si>
  <si>
    <r>
      <t xml:space="preserve">Year 10
</t>
    </r>
    <r>
      <rPr>
        <b/>
        <sz val="10"/>
        <color indexed="12"/>
        <rFont val="Times New Roman"/>
        <family val="1"/>
      </rPr>
      <t>Năm 10</t>
    </r>
  </si>
  <si>
    <t>Issue 6</t>
  </si>
  <si>
    <r>
      <t xml:space="preserve"># LNDs with APs issued a year
</t>
    </r>
    <r>
      <rPr>
        <sz val="10"/>
        <color indexed="12"/>
        <rFont val="Times New Roman"/>
        <family val="1"/>
      </rPr>
      <t># VBQPPL có TTHC ban hành 1 năm</t>
    </r>
  </si>
  <si>
    <r>
      <t xml:space="preserve"> - Law &amp; ordinance
</t>
    </r>
    <r>
      <rPr>
        <sz val="10"/>
        <color indexed="48"/>
        <rFont val="Times New Roman"/>
        <family val="1"/>
      </rPr>
      <t xml:space="preserve"> </t>
    </r>
    <r>
      <rPr>
        <sz val="10"/>
        <color indexed="12"/>
        <rFont val="Times New Roman"/>
        <family val="1"/>
      </rPr>
      <t>- Luật &amp; pháp lệnh</t>
    </r>
  </si>
  <si>
    <r>
      <t xml:space="preserve">Cost for issuance 
</t>
    </r>
    <r>
      <rPr>
        <i/>
        <sz val="10"/>
        <color indexed="12"/>
        <rFont val="Times New Roman"/>
        <family val="1"/>
      </rPr>
      <t>Chi phi ban hành văn bản</t>
    </r>
  </si>
  <si>
    <r>
      <t xml:space="preserve">% cost for drafting AP under LNDs
</t>
    </r>
    <r>
      <rPr>
        <sz val="10"/>
        <color indexed="12"/>
        <rFont val="Times New Roman"/>
        <family val="1"/>
      </rPr>
      <t>% chi phí soạn thảo TTHC trong VBQPPL</t>
    </r>
  </si>
  <si>
    <r>
      <t xml:space="preserve">% Unfeasible APs
</t>
    </r>
    <r>
      <rPr>
        <sz val="10"/>
        <color indexed="12"/>
        <rFont val="Times New Roman"/>
        <family val="1"/>
      </rPr>
      <t>% TTHC không khả thi</t>
    </r>
  </si>
  <si>
    <r>
      <t xml:space="preserve"> - Law &amp; ordinance
</t>
    </r>
    <r>
      <rPr>
        <sz val="10"/>
        <color indexed="12"/>
        <rFont val="Times New Roman"/>
        <family val="1"/>
      </rPr>
      <t xml:space="preserve"> - Luật &amp; pháp lệnh</t>
    </r>
  </si>
  <si>
    <r>
      <t xml:space="preserve">Cost for government due to unfeasible APs
</t>
    </r>
    <r>
      <rPr>
        <i/>
        <sz val="10"/>
        <color indexed="12"/>
        <rFont val="Times New Roman"/>
        <family val="1"/>
      </rPr>
      <t>Chi phí cho chính phủ do TTHC không khả thi</t>
    </r>
  </si>
  <si>
    <r>
      <t xml:space="preserve">Costs for 6A
</t>
    </r>
    <r>
      <rPr>
        <b/>
        <i/>
        <sz val="10"/>
        <color indexed="12"/>
        <rFont val="Times New Roman"/>
        <family val="1"/>
      </rPr>
      <t>Các chi phí cho 6A</t>
    </r>
  </si>
  <si>
    <r>
      <t xml:space="preserve"> - Decree
</t>
    </r>
    <r>
      <rPr>
        <sz val="10"/>
        <color indexed="48"/>
        <rFont val="Times New Roman"/>
        <family val="1"/>
      </rPr>
      <t xml:space="preserve"> </t>
    </r>
    <r>
      <rPr>
        <sz val="10"/>
        <color indexed="12"/>
        <rFont val="Times New Roman"/>
        <family val="1"/>
      </rPr>
      <t>- Nghị định</t>
    </r>
  </si>
  <si>
    <r>
      <t xml:space="preserve"> - Circular
</t>
    </r>
    <r>
      <rPr>
        <sz val="10"/>
        <color indexed="48"/>
        <rFont val="Times New Roman"/>
        <family val="1"/>
      </rPr>
      <t xml:space="preserve"> </t>
    </r>
    <r>
      <rPr>
        <sz val="10"/>
        <color indexed="12"/>
        <rFont val="Times New Roman"/>
        <family val="1"/>
      </rPr>
      <t>- Thông tư</t>
    </r>
  </si>
  <si>
    <r>
      <t xml:space="preserve"> - Decision by PM 
</t>
    </r>
    <r>
      <rPr>
        <sz val="10"/>
        <color indexed="48"/>
        <rFont val="Times New Roman"/>
        <family val="1"/>
      </rPr>
      <t xml:space="preserve"> </t>
    </r>
    <r>
      <rPr>
        <sz val="10"/>
        <color indexed="12"/>
        <rFont val="Times New Roman"/>
        <family val="1"/>
      </rPr>
      <t>- Quyết định của Thủ tướng</t>
    </r>
  </si>
  <si>
    <r>
      <t xml:space="preserve"> - Decision by ministry
</t>
    </r>
    <r>
      <rPr>
        <sz val="10"/>
        <color indexed="48"/>
        <rFont val="Times New Roman"/>
        <family val="1"/>
      </rPr>
      <t xml:space="preserve"> </t>
    </r>
    <r>
      <rPr>
        <sz val="10"/>
        <color indexed="12"/>
        <rFont val="Times New Roman"/>
        <family val="1"/>
      </rPr>
      <t>- Quyết định của Bộ</t>
    </r>
  </si>
  <si>
    <r>
      <t xml:space="preserve"> - Decision by Ministry 
</t>
    </r>
    <r>
      <rPr>
        <sz val="10"/>
        <color indexed="12"/>
        <rFont val="Times New Roman"/>
        <family val="1"/>
      </rPr>
      <t xml:space="preserve"> - Quyết định của Bộ</t>
    </r>
  </si>
  <si>
    <r>
      <t xml:space="preserve">Benefits for 6A
</t>
    </r>
    <r>
      <rPr>
        <b/>
        <i/>
        <sz val="10"/>
        <color indexed="12"/>
        <rFont val="Times New Roman"/>
        <family val="1"/>
      </rPr>
      <t>Lợi ích cho 6A</t>
    </r>
  </si>
  <si>
    <r>
      <t xml:space="preserve">Total cost of 6A
</t>
    </r>
    <r>
      <rPr>
        <b/>
        <sz val="10"/>
        <color indexed="12"/>
        <rFont val="Times New Roman"/>
        <family val="1"/>
      </rPr>
      <t>Tổng chi phí của phương án 6A</t>
    </r>
  </si>
  <si>
    <r>
      <t xml:space="preserve">Total benefit of 6A
</t>
    </r>
    <r>
      <rPr>
        <b/>
        <sz val="10"/>
        <color indexed="12"/>
        <rFont val="Times New Roman"/>
        <family val="1"/>
      </rPr>
      <t>Tổng  lợi ích của phương án 6A</t>
    </r>
  </si>
  <si>
    <r>
      <t xml:space="preserve">Total net benefit of 6A
</t>
    </r>
    <r>
      <rPr>
        <b/>
        <sz val="10"/>
        <color indexed="12"/>
        <rFont val="Times New Roman"/>
        <family val="1"/>
      </rPr>
      <t>Tổng lợi ích thuần của phương án 6A</t>
    </r>
  </si>
  <si>
    <r>
      <t xml:space="preserve">  Net benefit for state of 6A
</t>
    </r>
    <r>
      <rPr>
        <i/>
        <sz val="10"/>
        <color indexed="12"/>
        <rFont val="Times New Roman"/>
        <family val="1"/>
      </rPr>
      <t xml:space="preserve">  Lợi ích thuần của nhà nước của phương án 6A</t>
    </r>
  </si>
  <si>
    <r>
      <t xml:space="preserve">  Net benefit for non-state of 6A
  </t>
    </r>
    <r>
      <rPr>
        <i/>
        <sz val="10"/>
        <color indexed="12"/>
        <rFont val="Times New Roman"/>
        <family val="1"/>
      </rPr>
      <t>Lợi ích thuần của ngoài nhà nước của p/án 6A</t>
    </r>
  </si>
  <si>
    <r>
      <t xml:space="preserve">Costs for 6B
</t>
    </r>
    <r>
      <rPr>
        <b/>
        <i/>
        <sz val="10"/>
        <color indexed="12"/>
        <rFont val="Times New Roman"/>
        <family val="1"/>
      </rPr>
      <t>Các chi phí cho phương án 6B</t>
    </r>
  </si>
  <si>
    <r>
      <t xml:space="preserve">Benefits for 6B
</t>
    </r>
    <r>
      <rPr>
        <b/>
        <i/>
        <sz val="10"/>
        <color indexed="12"/>
        <rFont val="Times New Roman"/>
        <family val="1"/>
      </rPr>
      <t>Lợi ích cho 6B</t>
    </r>
  </si>
  <si>
    <r>
      <t xml:space="preserve">Total cost of 6B
</t>
    </r>
    <r>
      <rPr>
        <b/>
        <sz val="10"/>
        <color indexed="12"/>
        <rFont val="Times New Roman"/>
        <family val="1"/>
      </rPr>
      <t>Tổng chi phí của phương án 6B</t>
    </r>
  </si>
  <si>
    <r>
      <t xml:space="preserve">Total benefit of 6B
</t>
    </r>
    <r>
      <rPr>
        <b/>
        <sz val="10"/>
        <color indexed="12"/>
        <rFont val="Times New Roman"/>
        <family val="1"/>
      </rPr>
      <t>Tổng  lợi ích của phương án 6B</t>
    </r>
  </si>
  <si>
    <r>
      <t xml:space="preserve">Total net benefit of 6B
</t>
    </r>
    <r>
      <rPr>
        <b/>
        <sz val="10"/>
        <color indexed="12"/>
        <rFont val="Times New Roman"/>
        <family val="1"/>
      </rPr>
      <t>Tổng lợi ích thuần của phương án 6B</t>
    </r>
  </si>
  <si>
    <r>
      <t xml:space="preserve">  Net benefit for state of 6B
 </t>
    </r>
    <r>
      <rPr>
        <i/>
        <sz val="10"/>
        <color indexed="12"/>
        <rFont val="Times New Roman"/>
        <family val="1"/>
      </rPr>
      <t xml:space="preserve"> Lợi ích thuần của nhà nước của phương án 6B</t>
    </r>
  </si>
  <si>
    <r>
      <t xml:space="preserve">  Net benefit for non-state of 6B
 </t>
    </r>
    <r>
      <rPr>
        <i/>
        <sz val="10"/>
        <color indexed="12"/>
        <rFont val="Times New Roman"/>
        <family val="1"/>
      </rPr>
      <t xml:space="preserve"> Lợi ích thuần của ngoài nhà nước của phương án 6B</t>
    </r>
  </si>
  <si>
    <r>
      <t xml:space="preserve">Costs for 6C
</t>
    </r>
    <r>
      <rPr>
        <b/>
        <i/>
        <sz val="10"/>
        <color indexed="12"/>
        <rFont val="Times New Roman"/>
        <family val="1"/>
      </rPr>
      <t>Các chi phí cho phương án 6C</t>
    </r>
  </si>
  <si>
    <r>
      <t xml:space="preserve">Benefits for 6C
</t>
    </r>
    <r>
      <rPr>
        <b/>
        <i/>
        <sz val="10"/>
        <color indexed="12"/>
        <rFont val="Times New Roman"/>
        <family val="1"/>
      </rPr>
      <t>Lợi ích cho 6C</t>
    </r>
  </si>
  <si>
    <r>
      <t xml:space="preserve">Total cost of 6C
</t>
    </r>
    <r>
      <rPr>
        <b/>
        <sz val="10"/>
        <color indexed="12"/>
        <rFont val="Times New Roman"/>
        <family val="1"/>
      </rPr>
      <t>Tổng chi phí của phương án 6C</t>
    </r>
  </si>
  <si>
    <r>
      <t xml:space="preserve">Total benefit of 6C
</t>
    </r>
    <r>
      <rPr>
        <b/>
        <sz val="10"/>
        <color indexed="12"/>
        <rFont val="Times New Roman"/>
        <family val="1"/>
      </rPr>
      <t>Tổng  lợi ích của phương án 6C</t>
    </r>
  </si>
  <si>
    <r>
      <t xml:space="preserve">Total net benefit of 6C
</t>
    </r>
    <r>
      <rPr>
        <b/>
        <sz val="10"/>
        <color indexed="12"/>
        <rFont val="Times New Roman"/>
        <family val="1"/>
      </rPr>
      <t>Tổng lợi ích thuần của phương án 6C</t>
    </r>
  </si>
  <si>
    <r>
      <t xml:space="preserve">  Net benefit for state of 6C
  </t>
    </r>
    <r>
      <rPr>
        <i/>
        <sz val="10"/>
        <color indexed="12"/>
        <rFont val="Times New Roman"/>
        <family val="1"/>
      </rPr>
      <t>Lợi ích thuần của nhà nước của phương án 6C</t>
    </r>
  </si>
  <si>
    <r>
      <t xml:space="preserve">  Net benefit for non-state of 6C
</t>
    </r>
    <r>
      <rPr>
        <i/>
        <sz val="10"/>
        <color indexed="12"/>
        <rFont val="Times New Roman"/>
        <family val="1"/>
      </rPr>
      <t xml:space="preserve">  Lợi ích thuần của ngoài nhà nước của phương án 6C</t>
    </r>
  </si>
  <si>
    <r>
      <t xml:space="preserve">Costs for 6D
</t>
    </r>
    <r>
      <rPr>
        <b/>
        <i/>
        <sz val="10"/>
        <color indexed="12"/>
        <rFont val="Times New Roman"/>
        <family val="1"/>
      </rPr>
      <t>Các chi phí cho phương án 6D</t>
    </r>
  </si>
  <si>
    <r>
      <t xml:space="preserve">Benefits for 6D
</t>
    </r>
    <r>
      <rPr>
        <b/>
        <i/>
        <sz val="10"/>
        <color indexed="12"/>
        <rFont val="Times New Roman"/>
        <family val="1"/>
      </rPr>
      <t>Lợi ích cho 6D</t>
    </r>
  </si>
  <si>
    <r>
      <t xml:space="preserve">Total cost of 6D
</t>
    </r>
    <r>
      <rPr>
        <b/>
        <sz val="10"/>
        <color indexed="12"/>
        <rFont val="Times New Roman"/>
        <family val="1"/>
      </rPr>
      <t>Tổng chi phí của phương án 6D</t>
    </r>
  </si>
  <si>
    <r>
      <t xml:space="preserve">Total benefit of 6D
</t>
    </r>
    <r>
      <rPr>
        <b/>
        <sz val="10"/>
        <color indexed="12"/>
        <rFont val="Times New Roman"/>
        <family val="1"/>
      </rPr>
      <t>Tổng  lợi ích của phương án 6D</t>
    </r>
  </si>
  <si>
    <r>
      <t xml:space="preserve">Total net benefit of 6D
</t>
    </r>
    <r>
      <rPr>
        <b/>
        <sz val="10"/>
        <color indexed="12"/>
        <rFont val="Times New Roman"/>
        <family val="1"/>
      </rPr>
      <t>Tổng lợi ích thuần của phương án 6D</t>
    </r>
  </si>
  <si>
    <r>
      <t xml:space="preserve">  Net benefit for state of 6D
 </t>
    </r>
    <r>
      <rPr>
        <i/>
        <sz val="10"/>
        <color indexed="12"/>
        <rFont val="Times New Roman"/>
        <family val="1"/>
      </rPr>
      <t xml:space="preserve"> Lợi ích thuần của nhà nước của phương án 6D</t>
    </r>
  </si>
  <si>
    <r>
      <t xml:space="preserve">  Net benefit for non-state of 6D
  </t>
    </r>
    <r>
      <rPr>
        <i/>
        <sz val="10"/>
        <color indexed="12"/>
        <rFont val="Times New Roman"/>
        <family val="1"/>
      </rPr>
      <t>Lợi ích thuần của ngoài nhà nước của phương án 6D</t>
    </r>
  </si>
  <si>
    <r>
      <t xml:space="preserve">Monitoring agency without the function of giving opinions on APs
</t>
    </r>
    <r>
      <rPr>
        <b/>
        <sz val="10"/>
        <color indexed="12"/>
        <rFont val="Times New Roman"/>
        <family val="1"/>
      </rPr>
      <t>Cơ quan giám sát không có chức năng cho ý kiến về TTHC</t>
    </r>
  </si>
  <si>
    <r>
      <t xml:space="preserve">Monitoring agency with function of giving opinions on APs
</t>
    </r>
    <r>
      <rPr>
        <b/>
        <sz val="10"/>
        <color indexed="12"/>
        <rFont val="Times New Roman"/>
        <family val="1"/>
      </rPr>
      <t>Cơ quan giám sát có chức năng cho ý kiến về TTHC</t>
    </r>
  </si>
  <si>
    <r>
      <t xml:space="preserve">Cost for justice agencies to give opinion on APs
</t>
    </r>
    <r>
      <rPr>
        <i/>
        <sz val="10"/>
        <color indexed="12"/>
        <rFont val="Times New Roman"/>
        <family val="1"/>
      </rPr>
      <t>Chi phí cho cơ quan tư pháp để cho ý kiến về TTHC</t>
    </r>
  </si>
  <si>
    <r>
      <t xml:space="preserve">Bil VND
</t>
    </r>
    <r>
      <rPr>
        <sz val="10"/>
        <color indexed="12"/>
        <rFont val="Times New Roman"/>
        <family val="1"/>
      </rPr>
      <t>Tỷ VNĐ</t>
    </r>
  </si>
  <si>
    <r>
      <t xml:space="preserve">% unfeasible APs caused by lack of control
</t>
    </r>
    <r>
      <rPr>
        <sz val="10"/>
        <color indexed="12"/>
        <rFont val="Times New Roman"/>
        <family val="1"/>
      </rPr>
      <t>% tỷ lệ TTHC không khả thi do thiếu kiểm soát</t>
    </r>
  </si>
  <si>
    <r>
      <t xml:space="preserve">% contribution by better quality of APs thanks to control agency
</t>
    </r>
    <r>
      <rPr>
        <sz val="10"/>
        <color indexed="12"/>
        <rFont val="Times New Roman"/>
        <family val="1"/>
      </rPr>
      <t>% đóng góp do chất lượng TTHC tốt hơn nhờ có cơ quan kiểm soát</t>
    </r>
  </si>
  <si>
    <r>
      <t xml:space="preserve">Docs
</t>
    </r>
    <r>
      <rPr>
        <sz val="10"/>
        <color indexed="12"/>
        <rFont val="Times New Roman"/>
        <family val="1"/>
      </rPr>
      <t>Văn bản</t>
    </r>
  </si>
  <si>
    <r>
      <t xml:space="preserve">Control agency
</t>
    </r>
    <r>
      <rPr>
        <sz val="10"/>
        <color indexed="12"/>
        <rFont val="Times New Roman"/>
        <family val="1"/>
      </rPr>
      <t>Cơ quan kiểm soát</t>
    </r>
  </si>
  <si>
    <r>
      <t xml:space="preserve"># official letters with APs in one year
</t>
    </r>
    <r>
      <rPr>
        <sz val="10"/>
        <color indexed="12"/>
        <rFont val="Times New Roman"/>
        <family val="1"/>
      </rPr>
      <t># văn bản hướng dẫn TTHC/năm</t>
    </r>
  </si>
  <si>
    <r>
      <t xml:space="preserve">Cost for issuance of an AP regulation
</t>
    </r>
    <r>
      <rPr>
        <sz val="10"/>
        <color indexed="30"/>
        <rFont val="Times New Roman"/>
        <family val="1"/>
      </rPr>
      <t>Chi phi ban hành văn bản hành chính</t>
    </r>
  </si>
  <si>
    <t>Dân chủ</t>
  </si>
  <si>
    <t>Giám sát</t>
  </si>
  <si>
    <t>Tham gia</t>
  </si>
  <si>
    <t>Đáp ứng</t>
  </si>
  <si>
    <t>Giảm chi phí cho dn, người dân</t>
  </si>
  <si>
    <t>Chi phí cho thực hiện</t>
  </si>
  <si>
    <t>Rủi ro</t>
  </si>
  <si>
    <t>Tăng mức độ tuân thủ</t>
  </si>
  <si>
    <t>Hiệu quả, hiệu lực quản lý NN</t>
  </si>
  <si>
    <t>Ban hành TTHC</t>
  </si>
  <si>
    <t>Thực thi TTHC (nhanh, kịp thời)</t>
  </si>
  <si>
    <t>Chi phí NSNN</t>
  </si>
  <si>
    <t>Tính bền vững</t>
  </si>
  <si>
    <t>Đạt mục tiêu quản lý</t>
  </si>
  <si>
    <t>TTHC có chất lượng</t>
  </si>
  <si>
    <t>Cơ sở dữ liệu được cập nhật</t>
  </si>
  <si>
    <t>Hỗ trợ thực thi Luật ban hành VBQPPL</t>
  </si>
  <si>
    <t>Thẩm quyền chưa rõ ràng (1) thẩm quyền ban hành ở nhiều cấp</t>
  </si>
  <si>
    <t xml:space="preserve">(*) </t>
  </si>
  <si>
    <t>Chưa có sự thống kê đầy đủ thủ tục hành chính để thống kê (2)</t>
  </si>
  <si>
    <t>- Quy định về việc công khai hóa chưa đủ rõ ràng, cụ thể (nội dung+hình thức) để thực hiện công khai có hiệu quả, đầy đủ và kịp thời (3)</t>
  </si>
  <si>
    <t>(*) - Status quo</t>
  </si>
  <si>
    <t>+ Thiếu cơ quan điều phối &amp; kiểm soát (4)</t>
  </si>
  <si>
    <t>(*)</t>
  </si>
  <si>
    <t>(*) Status quo = Luật ban hành văn bản quy định pháp luật đã điều chỉnh một phần</t>
  </si>
  <si>
    <t>- Thiếu tham vấn (6)</t>
  </si>
  <si>
    <t>(*) Status quo</t>
  </si>
  <si>
    <t>(*) RIA cho tất cả văn bản có TTHC</t>
  </si>
  <si>
    <t xml:space="preserve">(*) RIA cho văn bản quy phạm pháp luật có TTHC </t>
  </si>
  <si>
    <t>Thiếu đánh giá đầy đủ về sự cần thiết và hợp lý khi ban hành &amp; rà soát TTHC (7)</t>
  </si>
  <si>
    <t>(*) Gắn với tiêu chí thi đua, khen thưởng</t>
  </si>
  <si>
    <t>(*) Rà soát định kỳ sau 3 năm</t>
  </si>
  <si>
    <t>1- Hiện tại</t>
  </si>
  <si>
    <t>2- Giảm thẩm quyền ban hành, theo đó cấp huyện+xã không được ban hành TTHC (có thể giữ tính đặc thù của  địa phương)</t>
  </si>
  <si>
    <t>3- Pá 2 nhưng phải ban hành dưới hình thức VBQPPL</t>
  </si>
  <si>
    <t>4- Hiện tại nhưng phải ban hành dưới hình thức VBQPPL</t>
  </si>
  <si>
    <t xml:space="preserve">Ý nghĩa là sẽ kiểm soát được thông qua tư pháp địa phương; </t>
  </si>
  <si>
    <t>Thực tế, cấp địa phương có cơ quan tư pháp, nhưng việc kiểm soát không hiệu quả</t>
  </si>
  <si>
    <t>Xem lại các quy định về thẩm quyền; nếu Luật đã cho phép, thì NĐ cũng không thể hạn chế được; Theo qđ 30 = cuối T6 sẽ phải thống nhất lại TTHC trong phạm vi huyện, xã (trừ đặc thù thì cũng do UBND tỉnh quy định; thực trạng hiện nay về phiên bản TTHC; phí+lệ phí có thể không xác định là một bộ phận cấu thành của TTHC</t>
  </si>
  <si>
    <t>2- Thống kê + Thiết lập cơ sở dữ liệu quốc gia</t>
  </si>
  <si>
    <t>"Chuẩn hóa" = Có thay đổi về THHC trong qđ của Luật và văn bản của Chính phủ =&gt; Bộ ngành phải thống kê, rà soát và sửa đổi lại THHC nếu cầu thiết và đăng ký lại vào bộ cơ sở dữ liệu quốc gia; việc hệ thống hóa là phải thực hiện thường xuyên</t>
  </si>
  <si>
    <t>3 - Thống kê + Thiết lập cơ sở dữ liệu quốc gia có tính pháp lý (coding các THHC tại cơ sở dữ liệu quốc gia)</t>
  </si>
  <si>
    <t>4- Pá 3 + Bộ trưởng + Chủ tịch UBND tỉnh, tp phải đăng ký TTHC thuộc thẩm quyền quản lý [những TTHC đã được hệ thống hóa theo thẩm quyền]</t>
  </si>
  <si>
    <t>5 - Pá 4 - bỏ tính pháp lý</t>
  </si>
  <si>
    <t>1 - Status quo</t>
  </si>
  <si>
    <t>2- Quy định về nội dung, hình thức công khai + trách nhiệm + chế tài</t>
  </si>
  <si>
    <t>2.4 Kết hợp cả 3</t>
  </si>
  <si>
    <t>2.3. Phương tiện thông tin đại chúng (Báo, radio, loa phường,…)</t>
  </si>
  <si>
    <t>2.2. Điện tử (internet)</t>
  </si>
  <si>
    <t>2.1. Niêm yết tại trụ sở (đóng sổ,bảng điện tử…)</t>
  </si>
  <si>
    <t>1 -</t>
  </si>
  <si>
    <t>Điều phối = phối hợp công việc; Cơ quan này không trực tiếp ban hành TTHC = đôn đốc, kiểm tra để các cơ quan có liên quan thực hiện nhiệm vụ của mình một cách tốt hơn, kịp thời hơn =&gt; phù hợp với vai trò hiện nay của VPCP; Bộ Nội vụ có thể phản ứng ??</t>
  </si>
  <si>
    <t>Lý do có thể là tạo thêm công việc =&gt; cơ quan này có làm thay các Vụ trong VPCP; theo quy chế làm việc VPCP thì VPCP thì chỉ thẩm tra về thủ tục+ ý kiến độc lập =&gt; TTG sẽ quyết định; cơ quan này có vai trò rất quan trọng trong việc kiểm soát nội dung và chất lượng của TTHC, trong khi đó cơ quan tư pháp dường như chỉ thẩm định về hình thức, thủ tục</t>
  </si>
  <si>
    <t>3 - Thiết lập một cơ quan kiểm soát thực hiện kiểm soát về tính hợp lý và sự cần thiết của TTHC được ban hành trong các VB[cơ quan tư pháp thẩm định theo luật BHVB+tất cả các loại VBPL]</t>
  </si>
  <si>
    <t xml:space="preserve">
Tổng</t>
  </si>
  <si>
    <t xml:space="preserve">
Người</t>
  </si>
  <si>
    <t xml:space="preserve">
 - Nghị định</t>
  </si>
  <si>
    <t xml:space="preserve">
 - Thông tư</t>
  </si>
  <si>
    <t xml:space="preserve">
 - Nghị quyết của Quốc hội</t>
  </si>
  <si>
    <t xml:space="preserve">
Giờ</t>
  </si>
  <si>
    <t xml:space="preserve"> 
Đơn vị</t>
  </si>
  <si>
    <t xml:space="preserve">
 - Pháp lệnh</t>
  </si>
  <si>
    <t xml:space="preserve">
 - Luật</t>
  </si>
  <si>
    <t xml:space="preserve"> - Lệnh, quyết định của Chủ tịch nước</t>
  </si>
  <si>
    <t xml:space="preserve">
 - Thông tư liên tịch</t>
  </si>
  <si>
    <t xml:space="preserve"> - Quyết định của Tổng kiểm toán nhà nước</t>
  </si>
  <si>
    <t xml:space="preserve"> - Nghị quyết của Hội đồng thẩm phán TANDTC</t>
  </si>
  <si>
    <t xml:space="preserve">Tổng chi phí soạn thảo VBQPPL cấp trung ương/năm </t>
  </si>
  <si>
    <t>Trích vào báo cáo RIA</t>
  </si>
  <si>
    <t>2A</t>
  </si>
  <si>
    <t>2B</t>
  </si>
  <si>
    <t>2C</t>
  </si>
  <si>
    <t xml:space="preserve">Văn bản </t>
  </si>
  <si>
    <t>Chi phí thời gian họp thông qua dự thảo Chương trình của Chính phủ</t>
  </si>
  <si>
    <t>Chi phí thời gian họp xem xét dự thảo Chương trình của UB Thường vụ QH</t>
  </si>
  <si>
    <t>Chi phí thời gian lập dự kiến đề nghị xây dựng luật, pháp lệnh của UBTVQH</t>
  </si>
  <si>
    <t>Tổng chi phí lập Chương trình xây dựng luật, pháp lệnh 5 năm</t>
  </si>
  <si>
    <t>Chi phí thời gian thảo luận về dự kiến Chương trình của Quốc hội</t>
  </si>
  <si>
    <t>Chi phí thời gian chỉnh lý dự kiến Chương trình của Quốc hội</t>
  </si>
  <si>
    <t>Chi phí thời gian thông qua CT xây dựng luật, pháp lệnh của Quốc hội</t>
  </si>
  <si>
    <t>Chi phí thời gian lập đề nghị xây dựng luật/pháp lệnh của cơ quan đề xuất</t>
  </si>
  <si>
    <t>Chi phí trung bình một giờ của cán bộ nhà nước cấp trung</t>
  </si>
  <si>
    <t xml:space="preserve">T/gian lập dự kiến chương trình: 2 người x 5 ngày x 8h </t>
  </si>
  <si>
    <t>T/gian họp: 4h x 50 người + chuẩn bị: 2 người x 16h</t>
  </si>
  <si>
    <t xml:space="preserve">T/gian chỉnh lý chương trình: 4 người x 3 ngày x 8h </t>
  </si>
  <si>
    <t>T/gian thảo luận: 3h x 500 người + nghiên cứu 8h x 500 người</t>
  </si>
  <si>
    <t>T/gian thông qua: 1h x 500 người + nghiên cứu 2h x 500 người</t>
  </si>
  <si>
    <t>Tổng chi phí lập Chương trình xây dựng luật, pháp lệnh hằng năm</t>
  </si>
  <si>
    <t xml:space="preserve">Thời gian lập đề nghị 1 văn bản: 2 người x 30 ngày x 8h </t>
  </si>
  <si>
    <t>Chi phí thời gian tổng hợp/thẩm tra đề nghị xây dựng luật, pháp lệnh của Bộ Tư pháp</t>
  </si>
  <si>
    <t>Chi phí thời gian tổng hợp/thẩm tra đề nghị xây dựng luật, pháp lệnh của UB Pháp luật</t>
  </si>
  <si>
    <t>Chi phí thời gian tổng hợp chương trình đề nghị xây dựng luật, pháp lệnh hằng năm của Bộ Tư pháp</t>
  </si>
  <si>
    <t>Chi phí thời gian tổng hợp chương trình đề nghị xây dựng luật, pháp lệnh hằng năm của UB Pháp luật</t>
  </si>
  <si>
    <t>T/gian họp: 4h x 30 người + chuẩn bị: 5 người x 16h</t>
  </si>
  <si>
    <t>Chi phí thời gian Bộ Tư pháp họp với các bộ</t>
  </si>
  <si>
    <t>Thời gian hop 50 người x 5 cuộc họp x 4h</t>
  </si>
  <si>
    <t>T/gian hướng dẫn, tổng hợp, kiểm tra đề nghị 1 văn bản: 
2 người x 2 ngày x 8h (10% của tổng số đề nghị)</t>
  </si>
  <si>
    <t>Chi phí thời gian UB Pháp luật họp với các bộ, cơ quan</t>
  </si>
  <si>
    <t>Thời gian hop 20 người x 3 cuộc họp x 4h + chuẩn bị: 2 người x 5 ngày x 8h</t>
  </si>
  <si>
    <t>T/gian hướng dẫn, tổng hợp, kiểm tra đề nghị 1 văn bản: 
2 người x 3 ngày x 8h (90% của tổng số văn bản đề nghị)</t>
  </si>
  <si>
    <t>Thời gian họp: 20 người x 3 cuộc họp x 4h</t>
  </si>
  <si>
    <t>Thời gian họp: 50 người x 5 cuộc họp x 4h</t>
  </si>
  <si>
    <t>T/gian họp: 4h x 100 người + chuẩn bị: 3 người x 3 ngày x 8h</t>
  </si>
  <si>
    <t>T/gian thảo luận: (4h+3h) x 500 người + nghiên cứu 8h x 500 người</t>
  </si>
  <si>
    <t>T/gian thông qua: 1h x 500 người + nghiên cứu sau chỉnh lý 2h x 500 người</t>
  </si>
  <si>
    <t>Chi phí thời gian soạn thảo tờ trình, thuyết minh, báo cáo RIA sơ bộ  của cơ quan đề xuất (cho đề xuất bổ sung)</t>
  </si>
  <si>
    <t>Số lượng văn bản luật, pháp lệnh đề nghị bổ sung trung bình hằng năm</t>
  </si>
  <si>
    <t>Số lượng văn bản luật, pháp lệnh đề nghị trung bình trong nhiệm kỳ 5 năm</t>
  </si>
  <si>
    <t>Số lượng văn bản luật, pháp lệnh đề nghị trung bình hằng năm</t>
  </si>
  <si>
    <t>T/gian hướng dẫn, tổng hợp, kiểm tra đề nghị 1 văn bản bổ sung: 2 người x 3 ngày x 8h + tổng hợp kế hoạch hằng năm: 2 người x 20 ngày x 8h</t>
  </si>
  <si>
    <t xml:space="preserve">T/gian hướng dẫn, tổng hợp, kiểm tra đề nghị: 
2 người x 5 ngày x 8h </t>
  </si>
  <si>
    <t xml:space="preserve">Thời gian lập đề nghị 1 văn bản (bổ sung): 2 người x 30 ngày x 8h </t>
  </si>
  <si>
    <t>Chi phí thành lập và hoạt động của Hội đồng tư vấn chính sách pháp luật</t>
  </si>
  <si>
    <t>Chi phí hoạt động thường xuyên của Bộ phận hỗ trợ hội đồng</t>
  </si>
  <si>
    <t>Chi phí đầu tư ban đầu cho Bộ phận hỗ trợ Hội đồng</t>
  </si>
  <si>
    <t>Giả định: Chi phí đầu tư cơ sở vật chất (bàn ghế, máy tính,…)</t>
  </si>
  <si>
    <t>Số văn bản dự kiến Hội đồng xem xét/năm</t>
  </si>
  <si>
    <t xml:space="preserve">Chi phí họp của Hội đồng </t>
  </si>
  <si>
    <t>Hội đồng chỉ xem xét luật, pháp lệnh, nghị định. Số liệu dựa vào Báo cáo tổng kết thi hành Luật BHVBQPPL năm 2008</t>
  </si>
  <si>
    <t>Lợi ích nhờ tiết kiệm chi phí xây dựng Chương trình 5 năm</t>
  </si>
  <si>
    <t>Tiết kiệm chi phí tổng hợp, họp và thông qua Chương trình 5 năm</t>
  </si>
  <si>
    <t>Thời gian xây dựng đề nghị cho từng văn bản không thành đổi, chỉ tiết kiệm thời gian tổng hợp, họp và thông qua Chương trình 5 năm; quy trình thực hiện đánh giá tác động và TTHC, báo cáo tổng kết vẫn không thay đổi, vì phương án này chỉ thay đổi trình tự thực hiện</t>
  </si>
  <si>
    <t>Lợi ích nhờ tiết kiệm chi phí xây dựng Chương trình 5 năm và thay đổi quy trình</t>
  </si>
  <si>
    <t xml:space="preserve">Do quy trình thay đổi là phải thực hiện báo cáo tổng kết và đề xuất phương án chính sách cụ thể ngay khi đề nghị nên số lượng văn bản đề nghị có xu hướng giảm đi, ước tính là 5% </t>
  </si>
  <si>
    <t>Giả định: Hội đồng họp xem xét 1 luật : 3 lần x 3h x 30 thành viên; chi báo cáo đánh giá của chuyên gia: 2 triệu/báo cáo x 3 lần họp</t>
  </si>
  <si>
    <t>Giả định: Hội đồng có đơn vị thường trực gồm 5 cán bộ: chi phí hoạt động (2 triệu/tháng/người) + chi phí lương trung bình/năm (8 triệu/tháng/người)</t>
  </si>
  <si>
    <t>Lợi ích nhờ tiết kiệm chi phí xây dựng Chương trình hằng năm</t>
  </si>
  <si>
    <t>Chi phí thực hiện Báo cáo tổng kết và Báo cáo RIA cho Thông tư, 
Nghị quyết HĐND tỉnh, Quyết định UBND tỉnh</t>
  </si>
  <si>
    <t xml:space="preserve">
# Nghị quyết HĐND tỉnh ban hành trung bình 1 năm </t>
  </si>
  <si>
    <t xml:space="preserve">
# Quyết định UBND tỉnh ban hành trung bình 1 năm </t>
  </si>
  <si>
    <t xml:space="preserve">văn bản </t>
  </si>
  <si>
    <t xml:space="preserve">
# Thông tư và Thông tư liên tịch ban hành trung bình 1 năm </t>
  </si>
  <si>
    <t>Kinh phí thực hiện Báo cáo tổng kết và Báo cáo RIA cho Thông tư</t>
  </si>
  <si>
    <t>Kinh phí thực hiện Báo cáo tổng kết và Báo cáo RIA cho Nghị quyết HĐND tỉnh</t>
  </si>
  <si>
    <t>Kinh phí thực hiện Báo cáo tổng kết và Báo cáo RIA cho Quyết định HĐND tỉnh</t>
  </si>
  <si>
    <t>Giả thiết: Dựa trên Thông tư 192/2010/TTLT-BTC-BTP-VPCP</t>
  </si>
  <si>
    <t>Chi phí thời gian thực hiện Báo cáo tổng kết và Báo cáo RIA cho 1 thông tư</t>
  </si>
  <si>
    <t>Chi phí thời gian thực hiện Báo cáo tổng kết và Báo cáo RIA cho 1 nghị quyết HĐND tỉnh</t>
  </si>
  <si>
    <t>Chi phí thời gian thực hiện Báo cáo tổng kết và Báo cáo RIA cho 1 quyết định HĐND tỉnh</t>
  </si>
  <si>
    <t>Giả định: Cán bộ soạn thảo (2 người x 30 ngày x 8h), Họp lấy ý kiến (30 người x 2 cuộc x 3h), thời gian góp ý của các bên (20 đơn vị x 8h), Chỉnh lý (2 người x 3 ngày x 8h)</t>
  </si>
  <si>
    <t>Giả định: Cán bộ soạn thảo (1  người x 10 ngày x 8h), Họp liên ngành (1 cuộc x 3h), thời gian góp ý (20 đơn vị x 8h), Chỉnh lý (1 người x 8h)</t>
  </si>
  <si>
    <t xml:space="preserve">
Giả thiết: Mỗi khóa kéo dài 1,5 ngày</t>
  </si>
  <si>
    <t xml:space="preserve">
Giả thiết: Mỗi tỉnh có 30 người tham gia</t>
  </si>
  <si>
    <t xml:space="preserve">Giả thiết dựa trên dữ liệu thu thập </t>
  </si>
  <si>
    <t xml:space="preserve">
    Số giờ tập huấn cho mỗi cán bộ</t>
  </si>
  <si>
    <t xml:space="preserve">
    Số cán bộ thực hiện tập huấn</t>
  </si>
  <si>
    <t xml:space="preserve">
   Các chi phí khác cho 1 khóa tập huấn</t>
  </si>
  <si>
    <t xml:space="preserve"> 
   Chi phí cho 3 cán bộ giảng dạy (bồi dưỡng và đi lại)</t>
  </si>
  <si>
    <t xml:space="preserve">
Giả thiết: Có 3 cán bộ giảng dạy, chi phí bồi dưỡng, đi lại: 5 triệu/khóa </t>
  </si>
  <si>
    <t xml:space="preserve">Tổng chi phí đào tạo RIA cho cán bộ cấp tỉnh </t>
  </si>
  <si>
    <t>Bằng tổng chi phí thực hiện Báo cáo tổng kết và RIA của Thông tư, Nghị 
quyết HĐND tỉnh và Quyết định UBND tỉnh và chi phí đào tạo</t>
  </si>
  <si>
    <t>Giả thiết người dân và doanh nghiệp dùng 3000 giờ để tra cứu 1 văn bản</t>
  </si>
  <si>
    <t>Tiết kiệm chi phí tra cứu cho doanh nghiệp và người dân trong một năm nhờ giảm số lượng văn bản (5%)</t>
  </si>
  <si>
    <t>Tiết kiệm chi phí nhờ số văn bản xây dựng trong một năm giảm (5%)</t>
  </si>
  <si>
    <t>Lợi ích nhờ tiết kiệm chi phí xây dựng CT 5 năm, CT hằng năm và thay đổi quy trình</t>
  </si>
  <si>
    <t>Trích vào báo cáo RIA.</t>
  </si>
  <si>
    <t xml:space="preserve">Vấn đề 2: Xây dựng chính sách và lập dự kiến chương trình </t>
  </si>
  <si>
    <t>Đối với Nhà nước</t>
  </si>
  <si>
    <t>Nguồn số liệu/Ghi chú</t>
  </si>
  <si>
    <t xml:space="preserve">
Thông tư và Thông tư liên tịch ban hành trung bình 1 năm </t>
  </si>
  <si>
    <t xml:space="preserve">
Nghị quyết HĐND tỉnh ban hành trung bình 1 năm </t>
  </si>
  <si>
    <t xml:space="preserve">
Quyết định UBND tỉnh ban hành trung bình 1 năm </t>
  </si>
  <si>
    <t>Danh mục câu hỏi</t>
  </si>
  <si>
    <t>Tổng số tờ khai KTCN</t>
  </si>
  <si>
    <t>TỔNG HỢP THỐNG KÊ THỜI GIAN TRẢ KẾT QUẢ KTCN TẠI MỘT SỐ ĐỊA PHƯƠNG</t>
  </si>
  <si>
    <t>Cục Hải quan TPHCM</t>
  </si>
  <si>
    <t>Cục Hải quan Hà Nội</t>
  </si>
  <si>
    <t>15-20 ngày (kiểm dịch giống động vật 30-90 ngày)</t>
  </si>
  <si>
    <t>Thành phố Đà Nẵng</t>
  </si>
  <si>
    <t>- Kiểm dịch động vật</t>
  </si>
  <si>
    <t xml:space="preserve">4-9 ngày </t>
  </si>
  <si>
    <t>- Kiểm dịch thực vật</t>
  </si>
  <si>
    <t>1-3 ngày (TB 1 ngày)</t>
  </si>
  <si>
    <t>- Kiểm dịch thủy sản</t>
  </si>
  <si>
    <t>4-9 ngày (TB 6 ngày)</t>
  </si>
  <si>
    <t>- Kiểm tra ATTP</t>
  </si>
  <si>
    <t>3-15 ngày (TB 7 ngày)</t>
  </si>
  <si>
    <t>- Kiểm tra chất lượng</t>
  </si>
  <si>
    <t>7-30 ngày (TB 14 ngày)</t>
  </si>
  <si>
    <t>Cục Hải quan Hải Phòng</t>
  </si>
  <si>
    <t>- Kiểm tra ATTP; rượu bia, hoa quả, TP chức năng</t>
  </si>
  <si>
    <t>3-7 ngày</t>
  </si>
  <si>
    <t>- Gỗ, thịt, sữa và các sản phẩm từ thịt sữa</t>
  </si>
  <si>
    <t>1 ngày</t>
  </si>
  <si>
    <t>- sắt thép, vải, phương tiện vận tải, máy móc thiết bị</t>
  </si>
  <si>
    <t>30 ngày</t>
  </si>
  <si>
    <t>Cục Hải quan Cao Bằng</t>
  </si>
  <si>
    <t>- phân đạm</t>
  </si>
  <si>
    <t>3-5 giờ</t>
  </si>
  <si>
    <t>- Vải may mặc</t>
  </si>
  <si>
    <t>1-3 ngày</t>
  </si>
  <si>
    <t xml:space="preserve">- máy móc thiết bị </t>
  </si>
  <si>
    <t>- Gỗ</t>
  </si>
  <si>
    <t>20- 40 phút</t>
  </si>
  <si>
    <t>- giống men khô (ATTP)</t>
  </si>
  <si>
    <t>16-29 ngày</t>
  </si>
  <si>
    <t>Cục Hải quan Lạng Sơn</t>
  </si>
  <si>
    <t>5-30 ngày (TB 20 ngày)</t>
  </si>
  <si>
    <t>Cục Hải quan Tây Ninh</t>
  </si>
  <si>
    <t>- Kiểm dịch thực vật và ATTP</t>
  </si>
  <si>
    <t>1-24 giờ</t>
  </si>
  <si>
    <t>- Kiểm dịch y tế</t>
  </si>
  <si>
    <t>15 phút – 2 giờ</t>
  </si>
  <si>
    <t>Cục Hải quan Lào Cai</t>
  </si>
  <si>
    <t>- Kiểm dịch thực vật, động vật, ATTP</t>
  </si>
  <si>
    <t>2-8 giờ</t>
  </si>
  <si>
    <t>1 giờ – 2 ngày</t>
  </si>
  <si>
    <t>Cục Hải quan Đồng Nai</t>
  </si>
  <si>
    <t>- Kiểm dịch</t>
  </si>
  <si>
    <t>5-22 ngày (TB 12 ngày)</t>
  </si>
  <si>
    <t>10-25 ngày (TB 14 ngày)</t>
  </si>
  <si>
    <t>13-34 ngày (TB 19 ngày)</t>
  </si>
  <si>
    <t>- Hàng NK thường xuyên</t>
  </si>
  <si>
    <t>2 ngày</t>
  </si>
  <si>
    <t>- Hàng khác</t>
  </si>
  <si>
    <t>7 ngày</t>
  </si>
  <si>
    <t>- Phải phân tích xét nghiệm lâu (ATTP, chất lượng)</t>
  </si>
  <si>
    <t>15-40 ngày</t>
  </si>
  <si>
    <t>Cục Hải quan Bà Rịa - Vũng Tàu</t>
  </si>
  <si>
    <t>- Nguyên liệu thực phẩm, thức ăn chăn nuôi</t>
  </si>
  <si>
    <t>15 ngày</t>
  </si>
  <si>
    <t>- ô tô, xe máy chuyên dùng</t>
  </si>
  <si>
    <t>5 ngày</t>
  </si>
  <si>
    <t>- Rượu, bia, sữa, dầu thực vật, bột mỳ</t>
  </si>
  <si>
    <t xml:space="preserve">- gỗ </t>
  </si>
  <si>
    <t>- xăng dầu</t>
  </si>
  <si>
    <t>- Vật liệu XD</t>
  </si>
  <si>
    <t>Đối với doanh nghiệp</t>
  </si>
  <si>
    <t>Đối với cơ quan hải quan</t>
  </si>
  <si>
    <t>Mục 1.2.2. Về thời gian kiểm tra: 
- Nên giải thích rõ hơn: Với kiểm tra sau thông quan, việc doanh nghiệp vẫn phải nộp chứng từ kiểm tra cho cơ quan hải quan làm mất thêm thời gian làm thủ tục hành chính.</t>
  </si>
  <si>
    <t xml:space="preserve">Mục 1.2.5. Số liệu thống kê của World Bank là dành cho mặt hàng có mã HS cụ thể, không phải số liệu tổng quan nên cần ghi cụ thể hơn để tránh nhầm lẫn. </t>
  </si>
  <si>
    <t xml:space="preserve">Mục 1.2.6. Danh mục các lĩnh vực KTCL chỉ bao gồm thủ tục 1 bước (chỉ 1 cơ quan, tổ chức thực hiện), ghi cụ thể hơn là phần lớn được không. </t>
  </si>
  <si>
    <t>Các loại phí kiểm tra chuyên ngành thường có (phí kiểm tra, phí cấp chứng từ, phí vận chuyển…)</t>
  </si>
  <si>
    <t>Số lượng lô mẫu phải sử dụng để kiểm tra</t>
  </si>
  <si>
    <t>Phí vận chuyển được tính như thế nào (do cơ quan KTCN vận chuyển hay ủy quyền cho doanh nghiệp)</t>
  </si>
  <si>
    <t>Thời gian trung bình phải kiểm tra chuyên ngành (tính từ lúc lấy mẫu kiểm tra tới khi lấy được kết quả để nộp cho cơ quan hải quan)</t>
  </si>
  <si>
    <t>Doanh nghiệp lựa chọn tổ chức đánh giá sự phù hợp theo tiêu chí nào (giá cả, chất lượng dịch vụ, vị trí địa lý, danh tiếng..)</t>
  </si>
  <si>
    <t>Mức phí kiểm tra tại các tổ chức đánh giá sự phù hợp có chênh lệch nhiều không?</t>
  </si>
  <si>
    <t>STT</t>
  </si>
  <si>
    <t>Đối với Tổ chức đánh giá sự phù hợp</t>
  </si>
  <si>
    <t>Đối với Trung tâm kiểm định</t>
  </si>
  <si>
    <t>Trả lời</t>
  </si>
  <si>
    <t xml:space="preserve">Liên quan tới việc kiểm tra mẫu hàng gửi về, hàng hóa của doanh nghiệp hiện được lấy mẫu và vận chuyển như thế nào? Có được chuyển về kho bảo quản của doanh nghiệp hay phải để lưu kho tại cảng? </t>
  </si>
  <si>
    <t>Phí KTCL hàng hóa tại các cơ quan được chỉ định, phí cấp chứng từ, phí vận chuyển, chi phí nhân sự</t>
  </si>
  <si>
    <t>Do doanh nghiệp tự vận chuyển, tự chi trả</t>
  </si>
  <si>
    <t>Chi phí KTCL là bao nhiêu?</t>
  </si>
  <si>
    <t>Tùy theo hàng hóa. Ví dụ với mặt hàng gia dụng điện, mẫu nhỏ có thể kiểm tra =&lt; 4 ngày, mẫu lớn như tủ lạnh, lò vi sóng, máy hút bụi là khoảng 1 tuần (hàng nhập EU). Tại doanh nghiệp thứ 2 khảo sát nhập hàng điện gia dụng từ TQ, thời gian KTCL là khoảng 2 tuần. 
Ví dụ cho 1 quy trình kiểm tra với mặt hàng Tời điện:
- Đăng ký KTCL (cấp số) tại Sở Lao động, thương binh và xã hội: 1-2 ngày
- Kiểm định chất lượng (tại doanh nghiệp kiểm định): 2-5 ngày
- Nộp chứng từ tại Sở: 1 ngày
- Nộp chứng từ cho cơ quan Hải quan: 1 ngày
Thời gian có thể dài hơn cho mặt hàng khác.
Doanh nghiệp không thấy có quy định về thời gian các cơ quan kiểm tra trả kết qua KTCL.</t>
  </si>
  <si>
    <t xml:space="preserve">Tùy hàng hóa. Trong đó doanh nghiệp vẫn phải trả chi phí không chính thức cho các cơ quan để lấy chứng từ/kiểm tra nhanh hơn. 
Chi phí kiểm tra tủ lạnh: 30-40 triệu/lần; cho dây cáp điện là 3-4 triệu/mẫu. 
Chi phí không chính thức cho chứng từ: 100 - 500 nghìn đồng, tùy cơ quan. </t>
  </si>
  <si>
    <t xml:space="preserve">Doanh nghiệp không thấy có quy định về thời gian kiểm định hàng hóa, thời gian đăng ký giấy tờ tại 1 số cơ quan mất thời gian hoặc chỉ quy định nhận đăng ký theo khung giờ nhất định. </t>
  </si>
  <si>
    <t>Một số lý do thời gian KTCN mất thời gian là gì?</t>
  </si>
  <si>
    <t>Giá cả, chất lượng dịch vụ, vị trí địa lý (gần cửa khẩu thông quan sẽ thuận lợi hơn), danh tiếng (các doanh nghiệp chỉ nhắc tới 1 số đơn vị kiểm tra chính như Vinacontrol, Quatest...)</t>
  </si>
  <si>
    <t>Tại 01 doanh nghiệp cho biết là mức chênh lệch không nhiều</t>
  </si>
  <si>
    <t>Một số băn khoăn của doanh nghiệp về KTCN</t>
  </si>
  <si>
    <t xml:space="preserve"> - Kiểm tra trước và sau thông quan: Chỉ khác biệt về việc giải phóng hàng trước hay sau khi KTCL. Trước thông quan: Doanh nghiệp phải KTCL và nộp lại chứng từ cho CQHQ mới được giải phóng hàng hóa. Sau thông quan: Doanh nghiệp nộp đăng ký KTCL cho CQHQ rồi lấy hàng. Hàng hóa KTCL sau thông quan mới mang đi lưu hành thị trường =&gt; Do đó về chi phí lưu giữ hàng cho tới khi có thể đưa vào thị trường vẫn mất thời gian tương tự
 - Do KTCN hiện tại gần như 100% đều được thông qua (thậm chí có mặt hàng không đảm bảo nhưng do quen biết nên vẫn nhận được chứng nhận) nên không có tính thực tiễn, chỉ mang tính hình thức, thủ tục, tốn kém chi phí.
 - Mô hình mới giảm đầu mối làm việc, CQHQ lấy mẫu, vận chuyển mẫu và thông báo kết quả thì doanh nghiệp đỡ tốn thời gian cử nhân sự đi làm thủ tục. Tuy nhiên thời gian thông quan phụ thuộc vào ý chí của cơ quan KTCL, nếu CQHQ làm đầu mối thì cần đưa ra sự đảm bảo về thời gian thông quan tối đa, và không được lâu hơn thời gian thông quan hiện tại.
- CSDL thông tin cần được chia sẻ giữa các cơ quan để giảm thời gian KTCL.</t>
  </si>
  <si>
    <t>Đối tượng chịu tác động của Đề án</t>
  </si>
  <si>
    <t>Vai trò của đại lý làm thủ tục hải quan chịu ảnh hưởng bởi VBPL trong phạm vi đề án [Chương 1, mục 6]</t>
  </si>
  <si>
    <t>Ví dụ một số tổ chức, cá nhân khác có quyền và nghĩa vụ liên quan đến chất lượng hàng hóa (ngoài các đối tượng chính đã nêu)</t>
  </si>
  <si>
    <t>Thủ tục, điện tử hóa thủ tục</t>
  </si>
  <si>
    <t>Mục 1.2.7: Về điện tử hóa thủ tục: mô hình mới có hoàn toàn áp dụng hồ sơ điện tử hay không?</t>
  </si>
  <si>
    <t>Việc công nhận, thừa nhận chất lượng hàng hóa của nước ngoài sẽ áp dụng trong Đề án mới như thế nào?</t>
  </si>
  <si>
    <t xml:space="preserve">Cả 03 doanh nghiệp cho biết: doanh nghiệp lấy mẫu (cơ quan Hải quan giám sát), rồi vận chuyển đi kiểm tra để lấy chứng từ KTCL. Trong thời gian đợi kiểm tra hàng hóa đưa về kho bảo quản của doanh nghiệp. Cơ quan Hải quan có thể đến kiểm tra bất chợt đảm bảo hàng hóa vẫn giữ trong kho trong thời gian này, nhưng vẫn có doanh nghiệp mang được hàng ra tiêu thụ được (vd: mặt hàng vải vóc, chăn...) do nhãn mác không có tác dụng thực tế (vd: khách hàng cắt vải may thì không cần nhãn mác) và chưa bị cơ quan nào kiểm tra vi phạm. </t>
  </si>
  <si>
    <t>Tùy theo hàng hóa, các dòng hàng được nhắc tới tại doanh nghiệp khảo sát là 01 lô</t>
  </si>
  <si>
    <t>Chi phí một giờ của cán bộ doanh nghiệp</t>
  </si>
  <si>
    <t xml:space="preserve">Mục 1.3. Về bất cập của hệ thống pháp luật quản lý, khi nêu vấn đề về quy định chưa đồng bộ, thống nhất, hay việc danh mục hàng hóa còn nhiều bất cập để làm tiền đề phân tích Đề án là một bước để rà soát lại toàn bộ thủ tục KTCN và chỉnh sửa quy định thì cần nêu rõ hơn. </t>
  </si>
  <si>
    <t>Danh mục hàng hóa KTCL</t>
  </si>
  <si>
    <t xml:space="preserve">Số lượng hàng hóa KTCL dự kiến kiểm tra theo từng giai đoạn của Đề án là bao nhiêu? Nêu cụ thể số lượng Danh mục bổ sung cho Giai đoạn 2 và Giai đoạn 3 </t>
  </si>
  <si>
    <t>Cơ quan hải quan dự kiến chỉ tập trung vào hàng hóa KTCL theo Danh mục ban hành của Bộ, ngành hay cả hàng hóa nằm ngoài Danh mục? Đề án hiện chưa ghi rõ mặt hàng sẽ bổ sung cho Giai đoạn 2 và 3</t>
  </si>
  <si>
    <t>Thời gian KTCL</t>
  </si>
  <si>
    <t>Thời gian KTCL trung bình cho mỗi lô hàng</t>
  </si>
  <si>
    <t>Thời gian xử lý thủ tục hải quan trung bình là bao lâu</t>
  </si>
  <si>
    <t>Dự kiến số lượng trung tâm kiểm định mở mới</t>
  </si>
  <si>
    <t>Dự kiến chi phí đầu tư trang thiết bị và bảo trị hệ thống</t>
  </si>
  <si>
    <t>Năng lực kiểm tra hàng hóa của trung tâm so với các đơn vị kiểm tra của Bộ, ngành như thế nào? Giải thích kỹ hơn năng lực của Trung tâm kiểm định hải quan có thể kiểm tra hơn 30% dòng hàng vốn do Bộ, ngành quản lý với nguồn lực hiện tại?</t>
  </si>
  <si>
    <t>Số lượng cán bộ dự kiến tuyển dụng thêm</t>
  </si>
  <si>
    <t>Nguồn lực KTCL</t>
  </si>
  <si>
    <t xml:space="preserve">Cơ quan hải quan dự kiến xử lý việc lấy mẫu, chuyển mẫu tới các Trung tâm kiểm định như thế nào với nguồn lực hiện tại do có hàng nghìn doanh nghiệp và lô hàng phải kiểm tra mỗi năm (với tỉ lệ kim ngạch xuất nhập khẩu tăng hơn 11%)? </t>
  </si>
  <si>
    <t>Mức giá kiểm tra trên thị trường có sự chênh lệch, giao động nhiều hay không?</t>
  </si>
  <si>
    <t>Số lượng nhân lực trung bình để kiểm tra 1 mẫu hàng/1 lô hàng là bao nhiêu?</t>
  </si>
  <si>
    <t>Thời gian trung bình để kiểm tra 1 mẫu hàng/1 lô hàng là bao lâu?</t>
  </si>
  <si>
    <t>Tỷ lệ hàng hóa xuất nhập khẩu CQHQ có khả năng kiểm tra trên tổng số lô hàng nhập khẩu phải KTCL là bao nhiêu? [Để tính toán số lượng mẫu hàng/dòng hàng phải kiểm tra 1 năm tại 07 trung tâm kiểm định]</t>
  </si>
  <si>
    <t>Nội dung Đề án (không sử dụng cho khảo sát)</t>
  </si>
  <si>
    <t>Mức giá đối với từng loại KTCN là bao nhiêu? Có văn bản nào hướng dẫn mức phí hay dựa theo cơ chế thị trường?</t>
  </si>
  <si>
    <t>Bộ ngành/Đơn vị cung cấp thông tin</t>
  </si>
  <si>
    <t>Nhóm hàng phải KTCN</t>
  </si>
  <si>
    <t>Thời gian ra kết quả kiểm tra</t>
  </si>
  <si>
    <t>7- 15 ngày (dài nhất 2-4 tháng)</t>
  </si>
  <si>
    <t>Cục Hải quan Bình Dương</t>
  </si>
  <si>
    <t>(Nguồn: Tổng cục Hải quan, 2016)</t>
  </si>
  <si>
    <t>Bảo lãnh thông quan</t>
  </si>
  <si>
    <t>Cập nhật bổ sung Đề án 08.01.2020</t>
  </si>
  <si>
    <t>Kiểm tra đơn giản</t>
  </si>
  <si>
    <t>Chưa dự kiến được thời gian kiểm tra</t>
  </si>
  <si>
    <t xml:space="preserve">Chỉ được đưa hàng về bảo quản khi có bảo lãnh về KTCL. Bảo lãnh do đơn vị thứ 3 thực hiện. Tuy nhiên nội dung này sẽ gây nhiều khó khăn hơn cho doanh nghiệp. </t>
  </si>
  <si>
    <t>Cửa khẩu</t>
  </si>
  <si>
    <t xml:space="preserve">Thực tế không có thiết bị kiểm tra (HN), chỉ có cân và mắt thường. 
Đại diện Cục Kiểm định: Không phải hải quan đề xuất làm mà do ý kiến từ trên. Chính phủ giao cho Hải quan phải kiểm tra tại cửa khẩu.
Đối với cửa khẩu: kiểm tra bằng mắt thường (khai báo nhãn mác). Một số hải quan địa phương có máy đo phóng xạ, còn không có thiết bị phân tích. Áp lực về số thu ngân sách, thời gian thông quan. </t>
  </si>
  <si>
    <t xml:space="preserve">Cục Kiểm định </t>
  </si>
  <si>
    <t xml:space="preserve">Đang so sánh thời gian kiểm tra tại Bộ, ngành với dự kiến của Hải quan, loại bỏ các mặt hàng Hải quan nếu làm sẽ lâu hơn. </t>
  </si>
  <si>
    <t xml:space="preserve">Số liệu nhiều mục chưa cập nhật cho thống nhất trong Đề án. </t>
  </si>
  <si>
    <t xml:space="preserve">Năm </t>
  </si>
  <si>
    <t>Timeline</t>
  </si>
  <si>
    <t>Values</t>
  </si>
  <si>
    <t>Forecast</t>
  </si>
  <si>
    <t>Lower Confidence Bound</t>
  </si>
  <si>
    <t>Upper Confidence Bound</t>
  </si>
  <si>
    <t>Statistic</t>
  </si>
  <si>
    <t>Value</t>
  </si>
  <si>
    <t>Alpha</t>
  </si>
  <si>
    <t>Beta</t>
  </si>
  <si>
    <t>Gamma</t>
  </si>
  <si>
    <t>MASE</t>
  </si>
  <si>
    <t>SMAPE</t>
  </si>
  <si>
    <t>MAE</t>
  </si>
  <si>
    <t>RMSE</t>
  </si>
  <si>
    <t>Kim ngạch NK (tỷ USD)</t>
  </si>
  <si>
    <t>Tổng số tờ khai NK</t>
  </si>
  <si>
    <t>Tỷ lệ tăng số tờ khai NK hàng năm</t>
  </si>
  <si>
    <t>Tỷ lệ số tời khai NK KTCN hàng năm</t>
  </si>
  <si>
    <t>VNĐ</t>
  </si>
  <si>
    <t>Chi phí một giờ của công chức nhà nước</t>
  </si>
  <si>
    <t>Đơn vị</t>
  </si>
  <si>
    <t>Dữ liệu</t>
  </si>
  <si>
    <t>Chú thích</t>
  </si>
  <si>
    <t>Tổng chi phí dự thảo và ban hành Nghị định</t>
  </si>
  <si>
    <t>Các khoản mục</t>
  </si>
  <si>
    <t xml:space="preserve"> Đơn vị</t>
  </si>
  <si>
    <t>Chú thích</t>
  </si>
  <si>
    <t>Nghị định 204/2004/NĐ-CP và Nghị quyết 86/2019/QH14 về dự toán ngân sách nhà nước. Tính theo mức lương của viên chức loại A1, bậc 4 (hệ số 3.33): 5.328.000đ, tính cho 22 ngày đi làm/tháng (đã trừ ngày nghỉ) và 8 giờ làm/ngày.</t>
  </si>
  <si>
    <t>Lượt</t>
  </si>
  <si>
    <t>Dữ liệu</t>
  </si>
  <si>
    <t>Nguồn dữ liệu</t>
  </si>
  <si>
    <t>2.3.1</t>
  </si>
  <si>
    <t>2.3.2</t>
  </si>
  <si>
    <t>Dựa trên Thông tư 338/2016/TT-BTC</t>
  </si>
  <si>
    <t>Giả định: CP-cán bộ soạn thảo (5), Ban soạn thảo (12); Tổ biên tập (15), Bộ ngành góp ý (25x3); địa phương &amp; CQ khác (10x3)
Giả định: CP-cán bộ soạn thảo (4 tháng x 160h), Ban soạn thảo (3l x 3h); Tổ biên tập (5l x 3h), Bộ ngành, địa phương (3 ngày x 8h)</t>
  </si>
  <si>
    <t>Thời gian soạn thảo, thẩm tra, thẩm định một Nghị định</t>
  </si>
  <si>
    <t>Giờ</t>
  </si>
  <si>
    <t>Mô tả</t>
  </si>
  <si>
    <t xml:space="preserve">Kinh phí định mức phân bổ cho dự thảo Nghị định 
</t>
  </si>
  <si>
    <t>I</t>
  </si>
  <si>
    <t>II</t>
  </si>
  <si>
    <t>Số liệu</t>
  </si>
  <si>
    <t>Nguồn/Chú thích</t>
  </si>
  <si>
    <t>2.2.1</t>
  </si>
  <si>
    <t>1.1.1</t>
  </si>
  <si>
    <t>1.1.2</t>
  </si>
  <si>
    <t>2.3.3</t>
  </si>
  <si>
    <t>Số liệu dịch vụ viễn thông</t>
  </si>
  <si>
    <t>Cục Viễn thông, Bộ TTTT</t>
  </si>
  <si>
    <t>Thu ngân sách từ thuế GTGT, thuế TNDN</t>
  </si>
  <si>
    <t xml:space="preserve">Doanh thu dịch vụ viễn thông trung bình trong một năm </t>
  </si>
  <si>
    <t>Số liệu trung bình của ba năm 2020-2022</t>
  </si>
  <si>
    <t>Thu ngân sách của Nhà nước</t>
  </si>
  <si>
    <t>Chi phí soạn thảo văn bản của Nhà nước</t>
  </si>
  <si>
    <t>2.2.</t>
  </si>
  <si>
    <t>DN</t>
  </si>
  <si>
    <t>Thời gian chuẩn bị và nộp báo cáo</t>
  </si>
  <si>
    <t>So sánh</t>
  </si>
  <si>
    <t>Lợi ích PA2</t>
  </si>
  <si>
    <t>Lợi ích PA3</t>
  </si>
  <si>
    <t>Chi phí PA 1</t>
  </si>
  <si>
    <t>Chi phí PA 2</t>
  </si>
  <si>
    <t>Chi phí PA 3</t>
  </si>
  <si>
    <t>PHỤ LỤC 1: DỮ LIỆU SỬ DỤNG CHO ĐÁNH GIÁ TÁC ĐỘNG DỰ ÁN LUẬT VIỄN THÔNG (SỬA ĐỔI)</t>
  </si>
  <si>
    <t>PHỤ LỤC 2: ĐÁNH GIÁ TÁC ĐỘNG CÁC CHÍNH SÁCH TRONG DỰ ÁN LUẬT VIỄN THÔNG (SỬA ĐỔI)</t>
  </si>
  <si>
    <t>Số lượng doanh nghiệp di động có hạ tầng mạng</t>
  </si>
  <si>
    <t xml:space="preserve">Doanh thu dịch vụ di động của các DN có hạ tầng mạng trong một năm </t>
  </si>
  <si>
    <t>Mức thuế TNDN của DN di động có hạ tầng mạng</t>
  </si>
  <si>
    <t>Mức thuế GTGT của dịch vụ di động</t>
  </si>
  <si>
    <t>Tỷ lệ lợi nhuận trung bình của dịch vụ di động của các DN có hạ tầng mạng năm 2020-2022</t>
  </si>
  <si>
    <t>Thu ngân sách từ phí quyền hoạt động viễn thông của các DN di động có hạ tầng mạng</t>
  </si>
  <si>
    <t>Doanh thu dịch vụ viễn thông di động trung bình trong một năm</t>
  </si>
  <si>
    <t>Tỷ trọng doanh thu dịch vụ di động trên tổng doanh thu dịch vụ viễn thông là 70%</t>
  </si>
  <si>
    <t>Báo cáo nhanh về tình hình thực hiện tiền lương cho người lao động của Bộ LĐ-TB-XH</t>
  </si>
  <si>
    <t>Nguồn: VOV https://vov.vn/tin-24h/tien-luong-binh-quan-cua-nguoi-lao-dong-tang-68-dat-7-8-trieu-997677.vov</t>
  </si>
  <si>
    <t>Tổng chi phí dự thảo và ban hành Thông tư</t>
  </si>
  <si>
    <t>Thời gian soạn thảo, thẩm tra, thẩm định một Thông tư</t>
  </si>
  <si>
    <t xml:space="preserve">Kinh phí định mức phân bổ cho dự thảo Thông tư 
</t>
  </si>
  <si>
    <t>1.1.3</t>
  </si>
  <si>
    <t>3.3.3</t>
  </si>
  <si>
    <t>2.2.3</t>
  </si>
  <si>
    <t>Giả định: CP-cán bộ soạn thảo (5), Bộ ngành góp ý (25); địa phương &amp; CQ khác (10)
Giả định: CP-cán bộ soạn thảo (3 tháng x 160h), Bộ ngành, địa phương (3 ngày x 8h)</t>
  </si>
  <si>
    <t>Tần suất báo cáo giá bán buôn, bán lẻ các dịch vụ mỗi năm</t>
  </si>
  <si>
    <t>Theo bảng dữ liệu tại Phụ lục 1</t>
  </si>
  <si>
    <t>Tỷ trọng doanh thu dịch vụ di động của các DN có hạ tầng mạng chiếm khoảng 95%</t>
  </si>
  <si>
    <t xml:space="preserve">Chi phí thực hiện báo cáo của doanh nghiệp sở hữu hạ tầng </t>
  </si>
  <si>
    <t>Số lượng doanh nghiệp SMP</t>
  </si>
  <si>
    <t>Chi phí thực hiện xây dựng thỏa thuận mẫu của doanh nghiệp di động SMP bán buôn</t>
  </si>
  <si>
    <t>Số lượng doanh nghiệp di động có hạ tầng mạng SMP</t>
  </si>
  <si>
    <t>Số lần nộp thỏa thuận mẫu</t>
  </si>
  <si>
    <t>Lần</t>
  </si>
  <si>
    <t>Thời gian chuẩn bị xây dựng và nộp thỏa thuận mẫu</t>
  </si>
  <si>
    <t>Mức lương của viên chức loại A1, bậc 4 (hệ số 3.33): 5.328.000đ, tính cho 22 ngày đi làm/tháng (đã trừ ngày nghỉ) &amp; 8 giờ làm/ngày.</t>
  </si>
  <si>
    <t>Thời gian chuẩn bị và nộp đăng ký/thông báo giá cước</t>
  </si>
  <si>
    <t>Số lần thực hiện đăng ký/thông báo giá cước của doanh nghiệp được cắt giảm</t>
  </si>
  <si>
    <t>2.2.2</t>
  </si>
  <si>
    <t>2.2.4</t>
  </si>
  <si>
    <t>3.2.1</t>
  </si>
  <si>
    <t>3.2.2</t>
  </si>
  <si>
    <t>3.2.3</t>
  </si>
  <si>
    <t>3.2.4</t>
  </si>
  <si>
    <t>3.3.1</t>
  </si>
  <si>
    <t>3.3.2</t>
  </si>
  <si>
    <t>3.3.4</t>
  </si>
  <si>
    <t>Mục 1.1</t>
  </si>
  <si>
    <t>Mục 2.3</t>
  </si>
  <si>
    <t>Mục 2.1 và 2.2</t>
  </si>
  <si>
    <t>Lợi ích PA1</t>
  </si>
  <si>
    <t>(Lợi ích - Chi phí) PA1</t>
  </si>
  <si>
    <t>(Lợi ích - Chi phí) PA2</t>
  </si>
  <si>
    <t>(Lợi ích - Chi phí) PA3</t>
  </si>
  <si>
    <t>Phương án đề xuất trong Luật sửa đổi</t>
  </si>
  <si>
    <t>Chính sách 1: Quản lý, điều tiết thị trường bán buôn</t>
  </si>
  <si>
    <t>Chính sách 1, Phương án 1 - Giữ nguyên hiện trạng</t>
  </si>
  <si>
    <t xml:space="preserve">Chính sách 1, Phương án 2 - Bổ sung quy định về trách nhiệm của doanh nghiệp sở hữu hạ tầng viễn thông và nguyên tắc xác định giá bán buôn, bán lẻ </t>
  </si>
  <si>
    <t>Chính sách 1, Phương án 3 - Phương án đề xuất sửa luật</t>
  </si>
  <si>
    <t>Chính sách 2: Hoàn thiện các quy định về cấp phép viễn thông</t>
  </si>
  <si>
    <t>Theo bảng tính tại Phụ lục 3 (bao gồm 01 Nghị định và 01 Thông tư)</t>
  </si>
  <si>
    <t>Theo bảng tính tại Phụ lục 3 (bao gồm 01 Nghị định)</t>
  </si>
  <si>
    <t>3.4.1</t>
  </si>
  <si>
    <t>3.4.2</t>
  </si>
  <si>
    <t>3.4.3</t>
  </si>
  <si>
    <t>3.4.4</t>
  </si>
  <si>
    <t>3.4.5</t>
  </si>
  <si>
    <t>3.4.6</t>
  </si>
  <si>
    <t>Mục 3.1 và 3.2</t>
  </si>
  <si>
    <t>Mục 3.3 và 3.4</t>
  </si>
  <si>
    <t>Chính sách 2, Phương án 1 - Giữ nguyên hiện trạng</t>
  </si>
  <si>
    <t>Chính sách 2, Phương án 2 - Sử dụng biện pháp thay thế, khuyến khích doanh nghiệp tự thỏa thuận, tuyên truyền vận động doanh nghiệp</t>
  </si>
  <si>
    <t>2.1.</t>
  </si>
  <si>
    <t>Chi phí tổ chức các hội thảo phổ biến văn bản QPPL, giao ban với các doanh nghiệp viễn thông</t>
  </si>
  <si>
    <t>Chi phí tổ chức 1 hội thảo phổ biến, giao ban với DN cho 100 người</t>
  </si>
  <si>
    <t>Theo chi phí tổ chức hội thảo Cục Viễn thông đã xây dựng và thực hiện</t>
  </si>
  <si>
    <t>Kinh phí tổ chức được xây dựng theo Thông tư số 40/2017/TT-BTC ngày 28/4/2017 của Bộ trưởng Bộ Tài chính quy định về chế độ công tác phí, chế độ chi tổ chức hội nghị.</t>
  </si>
  <si>
    <t>Dữ liệu khác</t>
  </si>
  <si>
    <t>Số lần phổ biến, giao ban với DN hàng năm</t>
  </si>
  <si>
    <t>Chi phí tổ chức 01 hội thảo phổ biến, giao ban với DN cho 100 người trong 01 ngày</t>
  </si>
  <si>
    <t xml:space="preserve">Chi phí các doanh nghiệp phải bỏ ra để thực hiện thủ tục cấp phép </t>
  </si>
  <si>
    <t>Số lượng doanh nghiệp viễn thông</t>
  </si>
  <si>
    <t>Thời gian chuẩn bị và nộp hồ sơ xin cấp phép</t>
  </si>
  <si>
    <t>Chi phí cơ quan QLNN phải bỏ ra để thẩm định hồ sơ xin cấp phép</t>
  </si>
  <si>
    <t>Chi phí một giờ của cán bộ Nhà nước</t>
  </si>
  <si>
    <t>Thời gian thẩm định hồ sơ xin cấp phép</t>
  </si>
  <si>
    <t>1.2.1</t>
  </si>
  <si>
    <t>1.2.2</t>
  </si>
  <si>
    <t>1.2.3</t>
  </si>
  <si>
    <t>Chính sách 2, Phương án 3 - Phương án đề xuất sửa luật</t>
  </si>
  <si>
    <t xml:space="preserve">Chi phí các doanh nghiệp phải bỏ ra để thực hiện thủ tục cấp phép theo hình thức cấp phép riêng </t>
  </si>
  <si>
    <t xml:space="preserve">Chi phí các doanh nghiệp phải bỏ ra để thực hiện thủ tục cấp phép theo hình thức cấp phép nhóm </t>
  </si>
  <si>
    <t>Chi phí các doanh nghiệp phải bỏ ra để thực hiện thủ tục đăng ký</t>
  </si>
  <si>
    <t>Số lượng doanh nghiệp viễn thông xin cấp phép</t>
  </si>
  <si>
    <t>Cục Viễn thông dự kiến</t>
  </si>
  <si>
    <t>Thời gian chuẩn bị và đăng ký</t>
  </si>
  <si>
    <t>3.1.1</t>
  </si>
  <si>
    <t>3.1.2</t>
  </si>
  <si>
    <t>3.1.3</t>
  </si>
  <si>
    <t>Theo mục 3.1.1</t>
  </si>
  <si>
    <t>Theo mục 3.2.1</t>
  </si>
  <si>
    <t>Thời gian thẩm định hồ sơ xin cấp phép riêng</t>
  </si>
  <si>
    <t>Thời gian thẩm định hồ sơ xin cấp phép nhóm</t>
  </si>
  <si>
    <t>III</t>
  </si>
  <si>
    <t>Chính sách 4, Phương án 1 - Giữ nguyên hiện trạng</t>
  </si>
  <si>
    <t>Chính sách 4, Phương án 2 - Phương án đề xuất sửa luật</t>
  </si>
  <si>
    <t>Số lượng doanh nghiệp cung cấp dịch vụ DC, cloud trong nước</t>
  </si>
  <si>
    <t>Số lượng doanh nghiệp hiện cung cấp dịch vụ cloud nước ngoài</t>
  </si>
  <si>
    <t>Số lượng doanh nghiệp hiện cung cấp dịch vụ DC trong nước</t>
  </si>
  <si>
    <t>Số lượng doanh nghiệp hiện cung cấp dịch vụ cloud trong nước</t>
  </si>
  <si>
    <t>Số lượng doanh nghiệp hiện cung cấp dịch vụ OTT trong nước</t>
  </si>
  <si>
    <t>Số lượng doanh nghiệp hiện cung cấp dịch vụ OTT nước ngoài</t>
  </si>
  <si>
    <t>1.10</t>
  </si>
  <si>
    <t>1.11</t>
  </si>
  <si>
    <t>1.12</t>
  </si>
  <si>
    <t>1.13</t>
  </si>
  <si>
    <t>1.14</t>
  </si>
  <si>
    <t>1.15</t>
  </si>
  <si>
    <t>1.16</t>
  </si>
  <si>
    <t>Số lượng doanh nghiệp cung cấp dịch vụ DC, Cloud trong nước</t>
  </si>
  <si>
    <t xml:space="preserve">Chi phí các doanh nghiệp trong nước phải bỏ ra để thực hiện thủ tục cấp phép theo hình thức cấp phép nhóm </t>
  </si>
  <si>
    <t>Chi phí các doanh nghiệp nước ngoài phải bỏ ra để thành lập văn phòng đại diện tại Việt Nam</t>
  </si>
  <si>
    <t>Số lượng doanh nghiệp cung cấp dịch vụ Cloud nước ngoài</t>
  </si>
  <si>
    <t>Chi phí thành lập văn phòng đại diện tại Việt Nam</t>
  </si>
  <si>
    <t>2.1.1</t>
  </si>
  <si>
    <t>2.1.2</t>
  </si>
  <si>
    <t>2.1.3</t>
  </si>
  <si>
    <t>IV</t>
  </si>
  <si>
    <t>Chính sách 5, Phương án 1 - Giữ nguyên hiện trạng</t>
  </si>
  <si>
    <t>Chính sách 5, Phương án 2 - Phương án đề xuất sửa luật</t>
  </si>
  <si>
    <t>Chính sách 5: Chính sách quản lý dịch vụ ứng dụng Internet trong viễn thông (OTT viễn thông)</t>
  </si>
  <si>
    <t>PHỤ LỤC 3: CHI PHÍ SOẠN THẢO VĂN BẢN CỦA NHÀ NƯỚC</t>
  </si>
  <si>
    <t>3.2. Chi phí soạn thảo và ban hành Thông tư</t>
  </si>
  <si>
    <t>3.1. Chi phí soạn thảo, ban hành Nghị định</t>
  </si>
  <si>
    <t>Số liệu ước tính</t>
  </si>
  <si>
    <t>Phí đã 3 triệu, nếu VP nước ngoài làm thì phí cao hơn. Hai ví dụ sau</t>
  </si>
  <si>
    <t>Theo mức phí dịch vụ khảo sát trên thị trường đã bao gồm lệ phí nhà nước và phí khắc dấu cho văn phòng đại diện.</t>
  </si>
  <si>
    <t>https://lawyer24h.net/cost-open-close-representative-office-hcmc/</t>
  </si>
  <si>
    <t>https://abbfirm.com/step-by-step-to-set-up-representative-office-in-vietnam/#:~:text=%E2%80%93%20The%20total%20cost%20of%20opening,in%20Vietnam%20is%20700%20USD.</t>
  </si>
  <si>
    <t>1.1.1.1</t>
  </si>
  <si>
    <t>1.1.1.2</t>
  </si>
  <si>
    <t>1.1.1.3</t>
  </si>
  <si>
    <t>1.1.1.4</t>
  </si>
  <si>
    <t>Doanh thu dịch vụ di động của các DN có hạ tầng mạng 
trung bình trong một năm (giai đoạn 2020-2022)</t>
  </si>
  <si>
    <t>Tỷ lệ lợi nhuận trung bình của dịch vụ di động của các DN có hạ tầng mạng (giai đoạn năm 2020-2022)</t>
  </si>
  <si>
    <t>Thu ngân sách từ phí quyền hoạt động viễn thông 
của các DN di động có hạ tầng mạng</t>
  </si>
  <si>
    <t>Tự tính toán</t>
  </si>
  <si>
    <t>Tổng thu ngân sách của Nhà nước</t>
  </si>
  <si>
    <t>2.3.1.1</t>
  </si>
  <si>
    <t>2.3.1.2</t>
  </si>
  <si>
    <t>2.3.1.3</t>
  </si>
  <si>
    <t>2.3.1.4</t>
  </si>
  <si>
    <t>2.3.1.5</t>
  </si>
  <si>
    <t>Tỷ lệ lợi nhuận trung bình của dịch vụ di động của các DN có hạ tầng mạng (năm 2020-2022)</t>
  </si>
  <si>
    <t>2.3.1.6</t>
  </si>
  <si>
    <t>Doanh thu dịch vụ di động của các DN có hạ tầng mạng 
dự kiến đạt được</t>
  </si>
  <si>
    <t xml:space="preserve">Tỷ lệ dự kiến tăng doanh thu dịch vụ di động của các DN có hạ tầng mạng 
</t>
  </si>
  <si>
    <t>Cục Viễn thông, Bộ TTTT ước tính</t>
  </si>
  <si>
    <t>Thu ngân sách từ phí quyền hoạt động viễn thông của các DN di động có hạ tầng mạng dự kiến đạt được</t>
  </si>
  <si>
    <t>Tự tính toán (tỷ lệ tăng trưởng 10%)</t>
  </si>
  <si>
    <t>Cục Viễn thông, Bộ TTTT thống kê</t>
  </si>
  <si>
    <t>Lợi ích đối với doanh nghiệp nhờ cắt giảm thời gian thực hiện đăng ký/thông báo giá cước của doanh nghiệp SMP bán lẻ</t>
  </si>
  <si>
    <t>Tỷ lệ tăng doanh thu dự kiến</t>
  </si>
  <si>
    <t>Doanh thu dịch vụ di động của các DN có hạ tầng mạng
trong một năm dự tính đạt được</t>
  </si>
  <si>
    <t>Tỷ lệ lợi nhuận trung bình của dịch vụ di động 
của các DN có hạ tầng mạng (giai đoạn 2020-2022)</t>
  </si>
  <si>
    <t>Cục Viễn thông, Bộ TTTT ước tính (3 người x 30 ngày)</t>
  </si>
  <si>
    <t>Cục Viễn thông, Bộ TTTT ước tính (5 người x 15 ngày)</t>
  </si>
  <si>
    <t>Chi phí các doanh nghiệp phải bỏ ra để đàm phán khu vực cung cấp dịch vụ [BỔ SUNG]</t>
  </si>
  <si>
    <t>Cục Viễn thông, Bộ TTTT ước tính (3 người x 60 ngày)</t>
  </si>
  <si>
    <t>Cục Viễn thông, Bộ TTTT ước tính (bằng 30% số doanh nghiệp)</t>
  </si>
  <si>
    <t>Cục Viễn thông, Bộ TTTT ước tính (5 người x 30 ngày)</t>
  </si>
  <si>
    <t>Cục Viễn thông, Bộ TTTT ước tính (5 người x 5 ngày)</t>
  </si>
  <si>
    <t xml:space="preserve">Cục Viễn thông, Bộ TTTT ước tính (1 người x 2 ngày), do thủ tục rất đơn giản </t>
  </si>
  <si>
    <t>Cục Viễn thông, Bộ TTTT ước tính (3 người x 15 ngày)</t>
  </si>
  <si>
    <t>Cục Viễn thông, Bộ TTTT ước tính. Giảm được 50% thời gian so với hiện nay do điều kiện cấp phép đơn giản hơn</t>
  </si>
  <si>
    <t>Số lượng doanh nghiệp viễn thông xin cấp phép riêng</t>
  </si>
  <si>
    <t>Số lượng doanh nghiệp viễn thông xin cấp phép nhóm</t>
  </si>
  <si>
    <t>Số lượng doanh nghiệp viễn thông xin thực hiện thủ tục đăng ký</t>
  </si>
  <si>
    <t>Chính sách 4: Chính sách quản lý dịch vụ trung tâm dữ liệu
và dịch vụ điện toán đám mây</t>
  </si>
  <si>
    <t>Không xác định được phân tích chi phí, lợi ích định lượng</t>
  </si>
  <si>
    <t>Chi phí vận hành văn phòng đại diện tại Việt Nam</t>
  </si>
  <si>
    <t>Cục Viễn thông, Bộ TTTT ước tính (ít nhất 2 người lao động + chi phí thuê văn phòng và vận hành)</t>
  </si>
  <si>
    <t>Trưởng đại diện lương tối thiểu 100 triệu đồng, nhân viên 30 triệu đồng, chi phí thuê văn phòng 20 triệu đồng + vận hành 20 triệu đồng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</si>
</sst>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Red]#,##0"/>
    <numFmt numFmtId="166" formatCode="0.0"/>
  </numFmts>
  <fonts count="59" x14ac:knownFonts="1">
    <font>
      <sz val="10"/>
      <name val="Arial"/>
    </font>
    <font>
      <sz val="8"/>
      <name val="Arial"/>
      <family val="2"/>
    </font>
    <font>
      <b/>
      <sz val="10"/>
      <name val="Arial"/>
      <family val="2"/>
    </font>
    <font>
      <sz val="12"/>
      <name val="Times New Roman"/>
      <family val="1"/>
    </font>
    <font>
      <b/>
      <sz val="12"/>
      <color indexed="10"/>
      <name val="Times New Roman"/>
      <family val="1"/>
    </font>
    <font>
      <b/>
      <sz val="12"/>
      <color indexed="10"/>
      <name val="Arial"/>
      <family val="2"/>
    </font>
    <font>
      <sz val="12"/>
      <name val="Arial"/>
      <family val="2"/>
    </font>
    <font>
      <b/>
      <sz val="12"/>
      <name val="Arial"/>
      <family val="2"/>
    </font>
    <font>
      <sz val="10"/>
      <name val="Arial"/>
      <family val="2"/>
    </font>
    <font>
      <sz val="8"/>
      <color indexed="81"/>
      <name val="Tahoma"/>
      <family val="2"/>
    </font>
    <font>
      <b/>
      <sz val="8"/>
      <color indexed="81"/>
      <name val="Tahoma"/>
      <family val="2"/>
    </font>
    <font>
      <b/>
      <sz val="10"/>
      <color indexed="8"/>
      <name val="Times New Roman"/>
      <family val="1"/>
    </font>
    <font>
      <b/>
      <sz val="10"/>
      <color indexed="12"/>
      <name val="Times New Roman"/>
      <family val="1"/>
    </font>
    <font>
      <b/>
      <sz val="10"/>
      <name val="Times New Roman"/>
      <family val="1"/>
    </font>
    <font>
      <sz val="10"/>
      <name val="Times New Roman"/>
      <family val="1"/>
    </font>
    <font>
      <sz val="10"/>
      <color indexed="8"/>
      <name val="Times New Roman"/>
      <family val="1"/>
    </font>
    <font>
      <sz val="10"/>
      <color indexed="12"/>
      <name val="Times New Roman"/>
      <family val="1"/>
    </font>
    <font>
      <sz val="10"/>
      <color indexed="30"/>
      <name val="Times New Roman"/>
      <family val="1"/>
    </font>
    <font>
      <sz val="10"/>
      <color indexed="10"/>
      <name val="Times New Roman"/>
      <family val="1"/>
    </font>
    <font>
      <b/>
      <i/>
      <sz val="10"/>
      <name val="Times New Roman"/>
      <family val="1"/>
    </font>
    <font>
      <b/>
      <i/>
      <sz val="10"/>
      <color indexed="8"/>
      <name val="Times New Roman"/>
      <family val="1"/>
    </font>
    <font>
      <i/>
      <sz val="10"/>
      <name val="Times New Roman"/>
      <family val="1"/>
    </font>
    <font>
      <i/>
      <sz val="10"/>
      <color indexed="8"/>
      <name val="Times New Roman"/>
      <family val="1"/>
    </font>
    <font>
      <sz val="10"/>
      <color indexed="48"/>
      <name val="Times New Roman"/>
      <family val="1"/>
    </font>
    <font>
      <i/>
      <sz val="10"/>
      <color indexed="12"/>
      <name val="Times New Roman"/>
      <family val="1"/>
    </font>
    <font>
      <b/>
      <i/>
      <sz val="10"/>
      <color indexed="12"/>
      <name val="Times New Roman"/>
      <family val="1"/>
    </font>
    <font>
      <sz val="10"/>
      <color indexed="8"/>
      <name val="Times New Roman"/>
      <family val="1"/>
    </font>
    <font>
      <i/>
      <sz val="10"/>
      <color indexed="8"/>
      <name val="Times New Roman"/>
      <family val="1"/>
    </font>
    <font>
      <sz val="10"/>
      <color indexed="12"/>
      <name val="Times New Roman"/>
      <family val="1"/>
    </font>
    <font>
      <b/>
      <sz val="10"/>
      <color indexed="12"/>
      <name val="Times New Roman"/>
      <family val="1"/>
    </font>
    <font>
      <b/>
      <sz val="11"/>
      <name val="Arial"/>
      <family val="2"/>
    </font>
    <font>
      <sz val="11"/>
      <name val="Arial"/>
      <family val="2"/>
    </font>
    <font>
      <i/>
      <sz val="11"/>
      <name val="Arial"/>
      <family val="2"/>
    </font>
    <font>
      <sz val="10"/>
      <name val="Arial"/>
      <family val="2"/>
    </font>
    <font>
      <b/>
      <sz val="12"/>
      <name val="Times New Roman"/>
      <family val="1"/>
    </font>
    <font>
      <b/>
      <i/>
      <sz val="12"/>
      <name val="Times New Roman"/>
      <family val="1"/>
    </font>
    <font>
      <i/>
      <sz val="12"/>
      <name val="Times New Roman"/>
      <family val="1"/>
    </font>
    <font>
      <sz val="11"/>
      <color indexed="62"/>
      <name val="Arial"/>
      <family val="2"/>
    </font>
    <font>
      <i/>
      <sz val="11"/>
      <color indexed="10"/>
      <name val="Arial"/>
      <family val="2"/>
    </font>
    <font>
      <i/>
      <sz val="12"/>
      <color indexed="10"/>
      <name val="Times New Roman"/>
      <family val="1"/>
    </font>
    <font>
      <sz val="12"/>
      <color indexed="62"/>
      <name val="Times New Roman"/>
      <family val="1"/>
    </font>
    <font>
      <b/>
      <sz val="12"/>
      <color indexed="62"/>
      <name val="Times New Roman"/>
      <family val="1"/>
    </font>
    <font>
      <b/>
      <sz val="12"/>
      <color indexed="8"/>
      <name val="Times New Roman"/>
      <family val="1"/>
    </font>
    <font>
      <i/>
      <sz val="12"/>
      <color indexed="62"/>
      <name val="Times New Roman"/>
      <family val="1"/>
    </font>
    <font>
      <i/>
      <sz val="12"/>
      <color indexed="8"/>
      <name val="Times New Roman"/>
      <family val="1"/>
    </font>
    <font>
      <sz val="14"/>
      <name val="Times New Roman"/>
      <family val="1"/>
    </font>
    <font>
      <i/>
      <sz val="14"/>
      <name val="Times New Roman"/>
      <family val="1"/>
    </font>
    <font>
      <b/>
      <sz val="13"/>
      <name val="Times New Roman"/>
      <family val="1"/>
    </font>
    <font>
      <sz val="13"/>
      <name val="Times New Roman"/>
      <family val="1"/>
    </font>
    <font>
      <sz val="9"/>
      <color indexed="81"/>
      <name val="Tahoma"/>
      <family val="2"/>
    </font>
    <font>
      <b/>
      <sz val="9"/>
      <color indexed="81"/>
      <name val="Tahoma"/>
      <family val="2"/>
    </font>
    <font>
      <u/>
      <sz val="10"/>
      <color theme="10"/>
      <name val="Arial"/>
      <family val="2"/>
    </font>
    <font>
      <sz val="12"/>
      <color rgb="FF202020"/>
      <name val="Times New Roman"/>
      <family val="1"/>
    </font>
    <font>
      <sz val="12"/>
      <color rgb="FF454545"/>
      <name val="Times New Roman"/>
      <family val="1"/>
    </font>
    <font>
      <b/>
      <sz val="12"/>
      <color theme="1"/>
      <name val="Times New Roman"/>
      <family val="1"/>
    </font>
    <font>
      <sz val="12"/>
      <color theme="1"/>
      <name val="Times New Roman"/>
      <family val="1"/>
    </font>
    <font>
      <b/>
      <sz val="12"/>
      <color rgb="FFFF0000"/>
      <name val="Times New Roman"/>
      <family val="1"/>
    </font>
    <font>
      <sz val="12"/>
      <color theme="1"/>
      <name val="Times New Roman"/>
      <family val="2"/>
    </font>
    <font>
      <u/>
      <sz val="12"/>
      <color theme="10"/>
      <name val="Times New Roman"/>
      <family val="1"/>
    </font>
  </fonts>
  <fills count="19">
    <fill>
      <patternFill patternType="none"/>
    </fill>
    <fill>
      <patternFill patternType="gray125"/>
    </fill>
    <fill>
      <patternFill patternType="solid">
        <fgColor indexed="51"/>
        <bgColor indexed="64"/>
      </patternFill>
    </fill>
    <fill>
      <patternFill patternType="solid">
        <fgColor indexed="9"/>
        <bgColor indexed="64"/>
      </patternFill>
    </fill>
    <fill>
      <patternFill patternType="solid">
        <fgColor indexed="13"/>
        <bgColor indexed="64"/>
      </patternFill>
    </fill>
    <fill>
      <patternFill patternType="solid">
        <fgColor indexed="49"/>
        <bgColor indexed="64"/>
      </patternFill>
    </fill>
    <fill>
      <patternFill patternType="solid">
        <fgColor indexed="27"/>
        <bgColor indexed="64"/>
      </patternFill>
    </fill>
    <fill>
      <patternFill patternType="solid">
        <fgColor indexed="42"/>
        <bgColor indexed="64"/>
      </patternFill>
    </fill>
    <fill>
      <patternFill patternType="solid">
        <fgColor indexed="44"/>
        <bgColor indexed="64"/>
      </patternFill>
    </fill>
    <fill>
      <patternFill patternType="solid">
        <fgColor indexed="4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C000"/>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double">
        <color indexed="64"/>
      </top>
      <bottom style="hair">
        <color indexed="64"/>
      </bottom>
      <diagonal/>
    </border>
    <border>
      <left/>
      <right/>
      <top style="medium">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8" fillId="0" borderId="0" applyFont="0" applyFill="0" applyBorder="0" applyAlignment="0" applyProtection="0"/>
    <xf numFmtId="0" fontId="51" fillId="0" borderId="0" applyNumberFormat="0" applyFill="0" applyBorder="0" applyAlignment="0" applyProtection="0"/>
    <xf numFmtId="9" fontId="33" fillId="0" borderId="0" applyFont="0" applyFill="0" applyBorder="0" applyAlignment="0" applyProtection="0"/>
    <xf numFmtId="0" fontId="57" fillId="0" borderId="0"/>
  </cellStyleXfs>
  <cellXfs count="421">
    <xf numFmtId="0" fontId="0" fillId="0" borderId="0" xfId="0"/>
    <xf numFmtId="0" fontId="0" fillId="0" borderId="0" xfId="0" applyAlignment="1">
      <alignment wrapText="1"/>
    </xf>
    <xf numFmtId="0" fontId="2" fillId="0" borderId="0" xfId="0" applyFont="1"/>
    <xf numFmtId="0" fontId="2" fillId="0" borderId="0" xfId="0" applyFont="1" applyAlignment="1">
      <alignment horizontal="center" wrapText="1"/>
    </xf>
    <xf numFmtId="0" fontId="4" fillId="0" borderId="0" xfId="0" applyFont="1" applyAlignment="1">
      <alignment wrapText="1"/>
    </xf>
    <xf numFmtId="0" fontId="5" fillId="0" borderId="0" xfId="0" applyFont="1"/>
    <xf numFmtId="0" fontId="6" fillId="0" borderId="0" xfId="0" applyFont="1"/>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4" fillId="0" borderId="0" xfId="0" quotePrefix="1" applyFont="1" applyAlignment="1">
      <alignment wrapText="1"/>
    </xf>
    <xf numFmtId="0" fontId="4" fillId="0" borderId="0" xfId="0" quotePrefix="1" applyFont="1"/>
    <xf numFmtId="0" fontId="14" fillId="0" borderId="0" xfId="0" applyFont="1"/>
    <xf numFmtId="0" fontId="14" fillId="0" borderId="1" xfId="0" applyFont="1" applyBorder="1" applyAlignment="1">
      <alignment wrapText="1"/>
    </xf>
    <xf numFmtId="0" fontId="14" fillId="0" borderId="0" xfId="0" applyFont="1" applyAlignment="1">
      <alignment horizontal="center"/>
    </xf>
    <xf numFmtId="0" fontId="13" fillId="0" borderId="2" xfId="0" applyFont="1" applyBorder="1" applyAlignment="1">
      <alignment horizontal="center" wrapText="1"/>
    </xf>
    <xf numFmtId="0" fontId="13" fillId="2" borderId="3" xfId="0" applyFont="1" applyFill="1" applyBorder="1" applyAlignment="1">
      <alignment horizontal="center"/>
    </xf>
    <xf numFmtId="0" fontId="13" fillId="2" borderId="4" xfId="0" applyFont="1" applyFill="1" applyBorder="1" applyAlignment="1">
      <alignment horizontal="center" wrapText="1"/>
    </xf>
    <xf numFmtId="0" fontId="21" fillId="0" borderId="0" xfId="0" applyFont="1"/>
    <xf numFmtId="0" fontId="21" fillId="3" borderId="1" xfId="0" applyFont="1" applyFill="1" applyBorder="1" applyAlignment="1">
      <alignment horizontal="center" wrapText="1"/>
    </xf>
    <xf numFmtId="164" fontId="22" fillId="3" borderId="1" xfId="1" applyNumberFormat="1" applyFont="1" applyFill="1" applyBorder="1"/>
    <xf numFmtId="164" fontId="22" fillId="3" borderId="1" xfId="0" applyNumberFormat="1" applyFont="1" applyFill="1" applyBorder="1"/>
    <xf numFmtId="0" fontId="26" fillId="0" borderId="1" xfId="0" applyFont="1" applyBorder="1" applyAlignment="1">
      <alignment wrapText="1"/>
    </xf>
    <xf numFmtId="0" fontId="14" fillId="0" borderId="1" xfId="0" applyFont="1" applyBorder="1" applyAlignment="1">
      <alignment horizontal="center" wrapText="1"/>
    </xf>
    <xf numFmtId="1" fontId="14" fillId="0" borderId="1" xfId="0" applyNumberFormat="1" applyFont="1" applyBorder="1"/>
    <xf numFmtId="0" fontId="14" fillId="0" borderId="1" xfId="0" applyFont="1" applyBorder="1"/>
    <xf numFmtId="0" fontId="14" fillId="0" borderId="5" xfId="0" applyFont="1" applyBorder="1"/>
    <xf numFmtId="0" fontId="27" fillId="0" borderId="1" xfId="0" applyFont="1" applyBorder="1" applyAlignment="1">
      <alignment wrapText="1"/>
    </xf>
    <xf numFmtId="0" fontId="14" fillId="0" borderId="1" xfId="0" applyFont="1" applyBorder="1" applyAlignment="1">
      <alignment horizontal="center"/>
    </xf>
    <xf numFmtId="164" fontId="14" fillId="0" borderId="1" xfId="1" applyNumberFormat="1" applyFont="1" applyBorder="1"/>
    <xf numFmtId="9" fontId="14" fillId="4" borderId="1" xfId="0" applyNumberFormat="1" applyFont="1" applyFill="1" applyBorder="1"/>
    <xf numFmtId="0" fontId="14" fillId="0" borderId="6" xfId="0" applyFont="1" applyBorder="1"/>
    <xf numFmtId="0" fontId="14" fillId="0" borderId="6" xfId="0" applyFont="1" applyBorder="1" applyAlignment="1">
      <alignment horizontal="center"/>
    </xf>
    <xf numFmtId="9" fontId="14" fillId="4" borderId="6" xfId="0" applyNumberFormat="1" applyFont="1" applyFill="1" applyBorder="1"/>
    <xf numFmtId="0" fontId="15" fillId="0" borderId="1" xfId="0" applyFont="1" applyBorder="1"/>
    <xf numFmtId="0" fontId="15" fillId="0" borderId="1" xfId="0" applyFont="1" applyBorder="1" applyAlignment="1">
      <alignment wrapText="1"/>
    </xf>
    <xf numFmtId="0" fontId="15" fillId="0" borderId="1" xfId="0" applyFont="1" applyBorder="1" applyAlignment="1">
      <alignment horizontal="center" wrapText="1"/>
    </xf>
    <xf numFmtId="0" fontId="21" fillId="2" borderId="3" xfId="0" applyFont="1" applyFill="1" applyBorder="1" applyAlignment="1">
      <alignment horizontal="center"/>
    </xf>
    <xf numFmtId="164" fontId="21" fillId="0" borderId="1" xfId="0" applyNumberFormat="1" applyFont="1" applyBorder="1"/>
    <xf numFmtId="0" fontId="21" fillId="0" borderId="1" xfId="0" applyFont="1" applyBorder="1" applyAlignment="1">
      <alignment horizontal="center"/>
    </xf>
    <xf numFmtId="0" fontId="11" fillId="5" borderId="0" xfId="0" applyFont="1" applyFill="1" applyAlignment="1">
      <alignment horizontal="center"/>
    </xf>
    <xf numFmtId="0" fontId="15" fillId="0" borderId="0" xfId="0" applyFont="1" applyAlignment="1">
      <alignment horizontal="left"/>
    </xf>
    <xf numFmtId="0" fontId="15" fillId="0" borderId="0" xfId="0" applyFont="1" applyAlignment="1">
      <alignment horizontal="center"/>
    </xf>
    <xf numFmtId="0" fontId="11" fillId="0" borderId="1" xfId="0" applyFont="1" applyBorder="1" applyAlignment="1">
      <alignment horizontal="left"/>
    </xf>
    <xf numFmtId="0" fontId="13" fillId="2" borderId="7" xfId="0" applyFont="1" applyFill="1" applyBorder="1" applyAlignment="1">
      <alignment horizontal="center"/>
    </xf>
    <xf numFmtId="0" fontId="13" fillId="2" borderId="1" xfId="0" applyFont="1" applyFill="1" applyBorder="1" applyAlignment="1">
      <alignment horizontal="center"/>
    </xf>
    <xf numFmtId="0" fontId="13" fillId="6" borderId="3" xfId="0" applyFont="1" applyFill="1" applyBorder="1" applyAlignment="1">
      <alignment horizontal="center"/>
    </xf>
    <xf numFmtId="0" fontId="13" fillId="6" borderId="1" xfId="0" applyFont="1" applyFill="1" applyBorder="1" applyAlignment="1">
      <alignment horizontal="center"/>
    </xf>
    <xf numFmtId="0" fontId="13" fillId="7" borderId="1" xfId="0" applyFont="1" applyFill="1" applyBorder="1" applyAlignment="1">
      <alignment horizontal="center"/>
    </xf>
    <xf numFmtId="0" fontId="13" fillId="6" borderId="8" xfId="0" applyFont="1" applyFill="1" applyBorder="1" applyAlignment="1">
      <alignment horizontal="center"/>
    </xf>
    <xf numFmtId="0" fontId="21" fillId="6" borderId="3" xfId="0" applyFont="1" applyFill="1" applyBorder="1" applyAlignment="1">
      <alignment horizontal="center"/>
    </xf>
    <xf numFmtId="0" fontId="19" fillId="6" borderId="3" xfId="0" applyFont="1" applyFill="1" applyBorder="1" applyAlignment="1">
      <alignment horizontal="center"/>
    </xf>
    <xf numFmtId="0" fontId="13" fillId="7" borderId="8" xfId="0" applyFont="1" applyFill="1" applyBorder="1" applyAlignment="1">
      <alignment horizontal="center"/>
    </xf>
    <xf numFmtId="0" fontId="13" fillId="7" borderId="3" xfId="0" applyFont="1" applyFill="1" applyBorder="1" applyAlignment="1">
      <alignment horizontal="center"/>
    </xf>
    <xf numFmtId="38" fontId="21" fillId="6" borderId="1" xfId="0" applyNumberFormat="1" applyFont="1" applyFill="1" applyBorder="1"/>
    <xf numFmtId="0" fontId="21" fillId="6" borderId="9" xfId="0" applyFont="1" applyFill="1" applyBorder="1" applyAlignment="1">
      <alignment horizontal="center"/>
    </xf>
    <xf numFmtId="38" fontId="21" fillId="6" borderId="10" xfId="0" applyNumberFormat="1" applyFont="1" applyFill="1" applyBorder="1"/>
    <xf numFmtId="0" fontId="21" fillId="7" borderId="3" xfId="0" applyFont="1" applyFill="1" applyBorder="1" applyAlignment="1">
      <alignment horizontal="center"/>
    </xf>
    <xf numFmtId="38" fontId="21" fillId="7" borderId="1" xfId="0" applyNumberFormat="1" applyFont="1" applyFill="1" applyBorder="1"/>
    <xf numFmtId="0" fontId="21" fillId="7" borderId="9" xfId="0" applyFont="1" applyFill="1" applyBorder="1" applyAlignment="1">
      <alignment horizontal="center"/>
    </xf>
    <xf numFmtId="38" fontId="21" fillId="7" borderId="10" xfId="0" applyNumberFormat="1" applyFont="1" applyFill="1" applyBorder="1"/>
    <xf numFmtId="0" fontId="21" fillId="2" borderId="9" xfId="0" applyFont="1" applyFill="1" applyBorder="1" applyAlignment="1">
      <alignment horizontal="center"/>
    </xf>
    <xf numFmtId="0" fontId="13" fillId="2" borderId="8" xfId="0" applyFont="1" applyFill="1" applyBorder="1" applyAlignment="1">
      <alignment horizontal="center"/>
    </xf>
    <xf numFmtId="0" fontId="13" fillId="2" borderId="11" xfId="0" applyFont="1" applyFill="1" applyBorder="1" applyAlignment="1">
      <alignment horizontal="center"/>
    </xf>
    <xf numFmtId="38" fontId="13" fillId="2" borderId="1" xfId="0" applyNumberFormat="1" applyFont="1" applyFill="1" applyBorder="1"/>
    <xf numFmtId="38" fontId="13" fillId="2" borderId="5" xfId="0" applyNumberFormat="1" applyFont="1" applyFill="1" applyBorder="1"/>
    <xf numFmtId="0" fontId="11" fillId="0" borderId="12" xfId="0" applyFont="1" applyBorder="1" applyAlignment="1">
      <alignment horizontal="left"/>
    </xf>
    <xf numFmtId="0" fontId="11" fillId="0" borderId="2" xfId="0" applyFont="1" applyBorder="1" applyAlignment="1">
      <alignment horizontal="center" wrapText="1"/>
    </xf>
    <xf numFmtId="0" fontId="14" fillId="0" borderId="13" xfId="0" applyFont="1" applyBorder="1"/>
    <xf numFmtId="0" fontId="13" fillId="7" borderId="11" xfId="0" applyFont="1" applyFill="1" applyBorder="1" applyAlignment="1">
      <alignment horizontal="center"/>
    </xf>
    <xf numFmtId="38" fontId="13" fillId="7" borderId="1" xfId="0" applyNumberFormat="1" applyFont="1" applyFill="1" applyBorder="1"/>
    <xf numFmtId="38" fontId="13" fillId="7" borderId="5" xfId="0" applyNumberFormat="1" applyFont="1" applyFill="1" applyBorder="1"/>
    <xf numFmtId="38" fontId="21" fillId="7" borderId="5" xfId="0" applyNumberFormat="1" applyFont="1" applyFill="1" applyBorder="1"/>
    <xf numFmtId="38" fontId="21" fillId="7" borderId="14" xfId="0" applyNumberFormat="1" applyFont="1" applyFill="1" applyBorder="1"/>
    <xf numFmtId="0" fontId="13" fillId="6" borderId="11" xfId="0" applyFont="1" applyFill="1" applyBorder="1" applyAlignment="1">
      <alignment horizontal="center"/>
    </xf>
    <xf numFmtId="38" fontId="13" fillId="6" borderId="1" xfId="0" applyNumberFormat="1" applyFont="1" applyFill="1" applyBorder="1"/>
    <xf numFmtId="38" fontId="13" fillId="6" borderId="5" xfId="0" applyNumberFormat="1" applyFont="1" applyFill="1" applyBorder="1"/>
    <xf numFmtId="38" fontId="21" fillId="6" borderId="5" xfId="0" applyNumberFormat="1" applyFont="1" applyFill="1" applyBorder="1"/>
    <xf numFmtId="38" fontId="21" fillId="6" borderId="14" xfId="0" applyNumberFormat="1" applyFont="1" applyFill="1" applyBorder="1"/>
    <xf numFmtId="0" fontId="14" fillId="0" borderId="6" xfId="0" applyFont="1" applyBorder="1" applyAlignment="1">
      <alignment wrapText="1"/>
    </xf>
    <xf numFmtId="0" fontId="14" fillId="0" borderId="15" xfId="0" applyFont="1" applyBorder="1"/>
    <xf numFmtId="0" fontId="13" fillId="7" borderId="7" xfId="0" applyFont="1" applyFill="1" applyBorder="1" applyAlignment="1">
      <alignment horizontal="center"/>
    </xf>
    <xf numFmtId="0" fontId="14" fillId="7" borderId="4" xfId="0" applyFont="1" applyFill="1" applyBorder="1" applyAlignment="1">
      <alignment horizontal="center"/>
    </xf>
    <xf numFmtId="0" fontId="14" fillId="7" borderId="4" xfId="0" applyFont="1" applyFill="1" applyBorder="1"/>
    <xf numFmtId="0" fontId="14" fillId="7" borderId="16" xfId="0" applyFont="1" applyFill="1" applyBorder="1"/>
    <xf numFmtId="0" fontId="21" fillId="0" borderId="1" xfId="0" applyFont="1" applyBorder="1" applyAlignment="1">
      <alignment horizontal="left" wrapText="1"/>
    </xf>
    <xf numFmtId="164" fontId="14" fillId="0" borderId="1" xfId="1" applyNumberFormat="1" applyFont="1" applyBorder="1" applyAlignment="1">
      <alignment horizontal="right"/>
    </xf>
    <xf numFmtId="0" fontId="19" fillId="7" borderId="3" xfId="0" applyFont="1" applyFill="1" applyBorder="1" applyAlignment="1">
      <alignment horizontal="center"/>
    </xf>
    <xf numFmtId="38" fontId="21" fillId="0" borderId="1" xfId="0" applyNumberFormat="1" applyFont="1" applyBorder="1"/>
    <xf numFmtId="38" fontId="21" fillId="0" borderId="5" xfId="0" applyNumberFormat="1" applyFont="1" applyBorder="1"/>
    <xf numFmtId="164" fontId="21" fillId="0" borderId="5" xfId="0" applyNumberFormat="1" applyFont="1" applyBorder="1"/>
    <xf numFmtId="38" fontId="15" fillId="0" borderId="0" xfId="1" applyNumberFormat="1" applyFont="1" applyAlignment="1">
      <alignment horizontal="center"/>
    </xf>
    <xf numFmtId="38" fontId="11" fillId="0" borderId="0" xfId="1" applyNumberFormat="1" applyFont="1" applyAlignment="1">
      <alignment horizontal="center"/>
    </xf>
    <xf numFmtId="38" fontId="15" fillId="4" borderId="0" xfId="0" applyNumberFormat="1" applyFont="1" applyFill="1" applyAlignment="1">
      <alignment horizontal="center"/>
    </xf>
    <xf numFmtId="38" fontId="15" fillId="8" borderId="0" xfId="0" applyNumberFormat="1" applyFont="1" applyFill="1" applyAlignment="1">
      <alignment horizontal="center"/>
    </xf>
    <xf numFmtId="38" fontId="18" fillId="0" borderId="0" xfId="0" applyNumberFormat="1" applyFont="1" applyAlignment="1">
      <alignment horizontal="center"/>
    </xf>
    <xf numFmtId="38" fontId="15" fillId="0" borderId="0" xfId="0" applyNumberFormat="1" applyFont="1" applyAlignment="1">
      <alignment horizontal="center"/>
    </xf>
    <xf numFmtId="0" fontId="28" fillId="0" borderId="1" xfId="0" applyFont="1" applyBorder="1" applyAlignment="1">
      <alignment horizontal="left" wrapText="1"/>
    </xf>
    <xf numFmtId="0" fontId="14" fillId="0" borderId="1" xfId="0" applyFont="1" applyBorder="1" applyAlignment="1">
      <alignment horizontal="center" vertical="top" wrapText="1"/>
    </xf>
    <xf numFmtId="38" fontId="14" fillId="0" borderId="1" xfId="0" applyNumberFormat="1" applyFont="1" applyBorder="1"/>
    <xf numFmtId="38" fontId="14" fillId="0" borderId="5" xfId="0" applyNumberFormat="1" applyFont="1" applyBorder="1"/>
    <xf numFmtId="38" fontId="14" fillId="0" borderId="15" xfId="0" applyNumberFormat="1" applyFont="1" applyBorder="1"/>
    <xf numFmtId="38" fontId="14" fillId="0" borderId="17" xfId="0" applyNumberFormat="1" applyFont="1" applyBorder="1"/>
    <xf numFmtId="0" fontId="13" fillId="6" borderId="7" xfId="0" applyFont="1" applyFill="1" applyBorder="1" applyAlignment="1">
      <alignment horizontal="center"/>
    </xf>
    <xf numFmtId="0" fontId="14" fillId="6" borderId="4" xfId="0" applyFont="1" applyFill="1" applyBorder="1" applyAlignment="1">
      <alignment horizontal="center"/>
    </xf>
    <xf numFmtId="0" fontId="14" fillId="6" borderId="4" xfId="0" applyFont="1" applyFill="1" applyBorder="1"/>
    <xf numFmtId="0" fontId="14" fillId="6" borderId="16" xfId="0" applyFont="1" applyFill="1" applyBorder="1"/>
    <xf numFmtId="38" fontId="15" fillId="2" borderId="4" xfId="1" applyNumberFormat="1" applyFont="1" applyFill="1" applyBorder="1"/>
    <xf numFmtId="38" fontId="11" fillId="2" borderId="4" xfId="0" applyNumberFormat="1" applyFont="1" applyFill="1" applyBorder="1"/>
    <xf numFmtId="38" fontId="11" fillId="2" borderId="16" xfId="0" applyNumberFormat="1" applyFont="1" applyFill="1" applyBorder="1"/>
    <xf numFmtId="0" fontId="14" fillId="2" borderId="1" xfId="0" applyFont="1" applyFill="1" applyBorder="1"/>
    <xf numFmtId="0" fontId="22" fillId="2" borderId="1" xfId="0" applyFont="1" applyFill="1" applyBorder="1" applyAlignment="1">
      <alignment wrapText="1"/>
    </xf>
    <xf numFmtId="0" fontId="21" fillId="2" borderId="1" xfId="0" applyFont="1" applyFill="1" applyBorder="1"/>
    <xf numFmtId="38" fontId="14" fillId="2" borderId="1" xfId="0" applyNumberFormat="1" applyFont="1" applyFill="1" applyBorder="1"/>
    <xf numFmtId="38" fontId="14" fillId="2" borderId="5" xfId="0" applyNumberFormat="1" applyFont="1" applyFill="1" applyBorder="1"/>
    <xf numFmtId="0" fontId="14" fillId="2" borderId="10" xfId="0" applyFont="1" applyFill="1" applyBorder="1"/>
    <xf numFmtId="0" fontId="22" fillId="2" borderId="10" xfId="0" applyFont="1" applyFill="1" applyBorder="1" applyAlignment="1">
      <alignment wrapText="1"/>
    </xf>
    <xf numFmtId="0" fontId="21" fillId="2" borderId="10" xfId="0" applyFont="1" applyFill="1" applyBorder="1"/>
    <xf numFmtId="38" fontId="14" fillId="2" borderId="10" xfId="0" applyNumberFormat="1" applyFont="1" applyFill="1" applyBorder="1"/>
    <xf numFmtId="38" fontId="14" fillId="2" borderId="14" xfId="0" applyNumberFormat="1" applyFont="1" applyFill="1" applyBorder="1"/>
    <xf numFmtId="38" fontId="14" fillId="0" borderId="6" xfId="0" applyNumberFormat="1" applyFont="1" applyBorder="1"/>
    <xf numFmtId="38" fontId="13" fillId="2" borderId="11" xfId="1" applyNumberFormat="1" applyFont="1" applyFill="1" applyBorder="1"/>
    <xf numFmtId="38" fontId="13" fillId="2" borderId="18" xfId="1" applyNumberFormat="1" applyFont="1" applyFill="1" applyBorder="1"/>
    <xf numFmtId="164" fontId="22" fillId="3" borderId="5" xfId="0" applyNumberFormat="1" applyFont="1" applyFill="1" applyBorder="1"/>
    <xf numFmtId="9" fontId="14" fillId="4" borderId="5" xfId="0" applyNumberFormat="1" applyFont="1" applyFill="1" applyBorder="1"/>
    <xf numFmtId="3" fontId="15" fillId="0" borderId="1" xfId="0" applyNumberFormat="1" applyFont="1" applyBorder="1"/>
    <xf numFmtId="38" fontId="13" fillId="6" borderId="11" xfId="1" applyNumberFormat="1" applyFont="1" applyFill="1" applyBorder="1"/>
    <xf numFmtId="0" fontId="22" fillId="6" borderId="1" xfId="0" applyFont="1" applyFill="1" applyBorder="1" applyAlignment="1">
      <alignment wrapText="1"/>
    </xf>
    <xf numFmtId="0" fontId="21" fillId="6" borderId="1" xfId="0" applyFont="1" applyFill="1" applyBorder="1"/>
    <xf numFmtId="0" fontId="22" fillId="6" borderId="10" xfId="0" applyFont="1" applyFill="1" applyBorder="1" applyAlignment="1">
      <alignment wrapText="1"/>
    </xf>
    <xf numFmtId="0" fontId="21" fillId="6" borderId="10" xfId="0" applyFont="1" applyFill="1" applyBorder="1"/>
    <xf numFmtId="0" fontId="14" fillId="6" borderId="3" xfId="0" applyFont="1" applyFill="1" applyBorder="1" applyAlignment="1">
      <alignment horizontal="center"/>
    </xf>
    <xf numFmtId="38" fontId="13" fillId="6" borderId="18" xfId="1" applyNumberFormat="1" applyFont="1" applyFill="1" applyBorder="1"/>
    <xf numFmtId="38" fontId="13" fillId="7" borderId="11" xfId="1" applyNumberFormat="1" applyFont="1" applyFill="1" applyBorder="1"/>
    <xf numFmtId="38" fontId="13" fillId="7" borderId="18" xfId="1" applyNumberFormat="1" applyFont="1" applyFill="1" applyBorder="1"/>
    <xf numFmtId="0" fontId="21" fillId="7" borderId="1" xfId="0" applyFont="1" applyFill="1" applyBorder="1"/>
    <xf numFmtId="0" fontId="22" fillId="7" borderId="1" xfId="0" applyFont="1" applyFill="1" applyBorder="1" applyAlignment="1">
      <alignment wrapText="1"/>
    </xf>
    <xf numFmtId="0" fontId="21" fillId="7" borderId="10" xfId="0" applyFont="1" applyFill="1" applyBorder="1"/>
    <xf numFmtId="0" fontId="22" fillId="7" borderId="10" xfId="0" applyFont="1" applyFill="1" applyBorder="1" applyAlignment="1">
      <alignment wrapText="1"/>
    </xf>
    <xf numFmtId="0" fontId="29" fillId="0" borderId="19" xfId="0" applyFont="1" applyBorder="1" applyAlignment="1">
      <alignment horizontal="center" wrapText="1"/>
    </xf>
    <xf numFmtId="164" fontId="11" fillId="0" borderId="2" xfId="1" applyNumberFormat="1" applyFont="1" applyBorder="1" applyAlignment="1">
      <alignment horizontal="center" wrapText="1"/>
    </xf>
    <xf numFmtId="0" fontId="11" fillId="0" borderId="20" xfId="0" applyFont="1" applyBorder="1" applyAlignment="1">
      <alignment horizontal="center" wrapText="1"/>
    </xf>
    <xf numFmtId="0" fontId="19" fillId="2" borderId="21" xfId="0" applyFont="1" applyFill="1" applyBorder="1" applyAlignment="1">
      <alignment horizontal="center"/>
    </xf>
    <xf numFmtId="0" fontId="14" fillId="2" borderId="3" xfId="0" applyFont="1" applyFill="1" applyBorder="1" applyAlignment="1">
      <alignment horizontal="center"/>
    </xf>
    <xf numFmtId="0" fontId="14" fillId="6" borderId="22" xfId="0" applyFont="1" applyFill="1" applyBorder="1" applyAlignment="1">
      <alignment horizontal="center"/>
    </xf>
    <xf numFmtId="0" fontId="14" fillId="7" borderId="3" xfId="0" applyFont="1" applyFill="1" applyBorder="1" applyAlignment="1">
      <alignment horizontal="center"/>
    </xf>
    <xf numFmtId="0" fontId="14" fillId="7" borderId="22" xfId="0" applyFont="1" applyFill="1" applyBorder="1" applyAlignment="1">
      <alignment horizontal="center"/>
    </xf>
    <xf numFmtId="0" fontId="13" fillId="9" borderId="7" xfId="0" applyFont="1" applyFill="1" applyBorder="1" applyAlignment="1">
      <alignment horizontal="center"/>
    </xf>
    <xf numFmtId="0" fontId="14" fillId="9" borderId="4" xfId="0" applyFont="1" applyFill="1" applyBorder="1" applyAlignment="1">
      <alignment horizontal="center"/>
    </xf>
    <xf numFmtId="0" fontId="14" fillId="9" borderId="4" xfId="0" applyFont="1" applyFill="1" applyBorder="1"/>
    <xf numFmtId="0" fontId="14" fillId="9" borderId="16" xfId="0" applyFont="1" applyFill="1" applyBorder="1"/>
    <xf numFmtId="0" fontId="13" fillId="9" borderId="3" xfId="0" applyFont="1" applyFill="1" applyBorder="1" applyAlignment="1">
      <alignment horizontal="center"/>
    </xf>
    <xf numFmtId="0" fontId="21" fillId="9" borderId="3" xfId="0" applyFont="1" applyFill="1" applyBorder="1" applyAlignment="1">
      <alignment horizontal="center"/>
    </xf>
    <xf numFmtId="0" fontId="13" fillId="9" borderId="8" xfId="0" applyFont="1" applyFill="1" applyBorder="1" applyAlignment="1">
      <alignment horizontal="center"/>
    </xf>
    <xf numFmtId="0" fontId="13" fillId="9" borderId="11" xfId="0" applyFont="1" applyFill="1" applyBorder="1" applyAlignment="1">
      <alignment horizontal="center"/>
    </xf>
    <xf numFmtId="0" fontId="13" fillId="9" borderId="1" xfId="0" applyFont="1" applyFill="1" applyBorder="1" applyAlignment="1">
      <alignment horizontal="center"/>
    </xf>
    <xf numFmtId="38" fontId="13" fillId="9" borderId="1" xfId="0" applyNumberFormat="1" applyFont="1" applyFill="1" applyBorder="1"/>
    <xf numFmtId="38" fontId="13" fillId="9" borderId="5" xfId="0" applyNumberFormat="1" applyFont="1" applyFill="1" applyBorder="1"/>
    <xf numFmtId="38" fontId="21" fillId="9" borderId="1" xfId="0" applyNumberFormat="1" applyFont="1" applyFill="1" applyBorder="1"/>
    <xf numFmtId="38" fontId="21" fillId="9" borderId="5" xfId="0" applyNumberFormat="1" applyFont="1" applyFill="1" applyBorder="1"/>
    <xf numFmtId="0" fontId="21" fillId="9" borderId="9" xfId="0" applyFont="1" applyFill="1" applyBorder="1" applyAlignment="1">
      <alignment horizontal="center"/>
    </xf>
    <xf numFmtId="38" fontId="21" fillId="9" borderId="10" xfId="0" applyNumberFormat="1" applyFont="1" applyFill="1" applyBorder="1"/>
    <xf numFmtId="38" fontId="21" fillId="9" borderId="14" xfId="0" applyNumberFormat="1" applyFont="1" applyFill="1" applyBorder="1"/>
    <xf numFmtId="0" fontId="19" fillId="9" borderId="3" xfId="0" applyFont="1" applyFill="1" applyBorder="1" applyAlignment="1">
      <alignment horizontal="center"/>
    </xf>
    <xf numFmtId="38" fontId="13" fillId="9" borderId="11" xfId="1" applyNumberFormat="1" applyFont="1" applyFill="1" applyBorder="1"/>
    <xf numFmtId="38" fontId="13" fillId="9" borderId="18" xfId="1" applyNumberFormat="1" applyFont="1" applyFill="1" applyBorder="1"/>
    <xf numFmtId="0" fontId="21" fillId="9" borderId="1" xfId="0" applyFont="1" applyFill="1" applyBorder="1"/>
    <xf numFmtId="0" fontId="22" fillId="9" borderId="1" xfId="0" applyFont="1" applyFill="1" applyBorder="1" applyAlignment="1">
      <alignment wrapText="1"/>
    </xf>
    <xf numFmtId="0" fontId="21" fillId="9" borderId="10" xfId="0" applyFont="1" applyFill="1" applyBorder="1"/>
    <xf numFmtId="0" fontId="22" fillId="9" borderId="10" xfId="0" applyFont="1" applyFill="1" applyBorder="1" applyAlignment="1">
      <alignment wrapText="1"/>
    </xf>
    <xf numFmtId="0" fontId="14" fillId="9" borderId="3" xfId="0" applyFont="1" applyFill="1" applyBorder="1" applyAlignment="1">
      <alignment horizontal="center"/>
    </xf>
    <xf numFmtId="0" fontId="14" fillId="9" borderId="22" xfId="0" applyFont="1" applyFill="1" applyBorder="1" applyAlignment="1">
      <alignment horizontal="center"/>
    </xf>
    <xf numFmtId="0" fontId="15" fillId="0" borderId="0" xfId="0" applyFont="1" applyAlignment="1">
      <alignment horizontal="center" wrapText="1"/>
    </xf>
    <xf numFmtId="0" fontId="31" fillId="0" borderId="0" xfId="0" applyFont="1"/>
    <xf numFmtId="0" fontId="31" fillId="0" borderId="0" xfId="0" applyFont="1" applyAlignment="1">
      <alignment horizontal="center"/>
    </xf>
    <xf numFmtId="0" fontId="31" fillId="3" borderId="0" xfId="0" applyFont="1" applyFill="1"/>
    <xf numFmtId="0" fontId="32" fillId="3" borderId="0" xfId="0" applyFont="1" applyFill="1"/>
    <xf numFmtId="0" fontId="38" fillId="3" borderId="0" xfId="0" applyFont="1" applyFill="1"/>
    <xf numFmtId="0" fontId="37" fillId="3" borderId="0" xfId="0" applyFont="1" applyFill="1"/>
    <xf numFmtId="0" fontId="30" fillId="0" borderId="0" xfId="0" applyFont="1" applyAlignment="1">
      <alignment horizontal="center"/>
    </xf>
    <xf numFmtId="0" fontId="3" fillId="0" borderId="23" xfId="0" applyFont="1" applyBorder="1" applyAlignment="1">
      <alignment horizontal="center"/>
    </xf>
    <xf numFmtId="0" fontId="3" fillId="0" borderId="23" xfId="0" applyFont="1" applyBorder="1" applyAlignment="1">
      <alignment wrapText="1"/>
    </xf>
    <xf numFmtId="164" fontId="3" fillId="0" borderId="23" xfId="1" applyNumberFormat="1" applyFont="1" applyFill="1" applyBorder="1"/>
    <xf numFmtId="0" fontId="3" fillId="0" borderId="23" xfId="0" applyFont="1" applyBorder="1" applyAlignment="1">
      <alignment horizontal="center" wrapText="1"/>
    </xf>
    <xf numFmtId="0" fontId="3" fillId="0" borderId="23" xfId="0" applyFont="1" applyBorder="1" applyAlignment="1">
      <alignment horizontal="right" wrapText="1"/>
    </xf>
    <xf numFmtId="165" fontId="3" fillId="0" borderId="23" xfId="1" applyNumberFormat="1" applyFont="1" applyFill="1" applyBorder="1"/>
    <xf numFmtId="0" fontId="3" fillId="0" borderId="23" xfId="0" applyFont="1" applyBorder="1"/>
    <xf numFmtId="0" fontId="3" fillId="3" borderId="23" xfId="0" applyFont="1" applyFill="1" applyBorder="1" applyAlignment="1">
      <alignment horizontal="center" wrapText="1"/>
    </xf>
    <xf numFmtId="0" fontId="3" fillId="3" borderId="23" xfId="0" applyFont="1" applyFill="1" applyBorder="1" applyAlignment="1">
      <alignment wrapText="1"/>
    </xf>
    <xf numFmtId="0" fontId="3" fillId="3" borderId="23" xfId="0" applyFont="1" applyFill="1" applyBorder="1"/>
    <xf numFmtId="0" fontId="3" fillId="3" borderId="23" xfId="0" applyFont="1" applyFill="1" applyBorder="1" applyAlignment="1">
      <alignment horizontal="center"/>
    </xf>
    <xf numFmtId="164" fontId="3" fillId="3" borderId="23" xfId="1" applyNumberFormat="1" applyFont="1" applyFill="1" applyBorder="1"/>
    <xf numFmtId="164" fontId="3" fillId="0" borderId="23" xfId="1" applyNumberFormat="1" applyFont="1" applyFill="1" applyBorder="1" applyAlignment="1">
      <alignment horizontal="right"/>
    </xf>
    <xf numFmtId="0" fontId="34" fillId="3" borderId="23" xfId="0" applyFont="1" applyFill="1" applyBorder="1" applyAlignment="1">
      <alignment horizontal="center" wrapText="1"/>
    </xf>
    <xf numFmtId="0" fontId="34" fillId="3" borderId="23" xfId="0" applyFont="1" applyFill="1" applyBorder="1" applyAlignment="1">
      <alignment horizontal="center"/>
    </xf>
    <xf numFmtId="0" fontId="35" fillId="3" borderId="23" xfId="0" applyFont="1" applyFill="1" applyBorder="1" applyAlignment="1">
      <alignment horizontal="center" wrapText="1"/>
    </xf>
    <xf numFmtId="0" fontId="36" fillId="3" borderId="23" xfId="0" applyFont="1" applyFill="1" applyBorder="1" applyAlignment="1">
      <alignment horizontal="left" wrapText="1"/>
    </xf>
    <xf numFmtId="164" fontId="3" fillId="0" borderId="23" xfId="1" applyNumberFormat="1" applyFont="1" applyFill="1" applyBorder="1" applyAlignment="1">
      <alignment horizontal="right" wrapText="1"/>
    </xf>
    <xf numFmtId="0" fontId="35" fillId="3" borderId="23" xfId="0" applyFont="1" applyFill="1" applyBorder="1" applyAlignment="1">
      <alignment horizontal="left" wrapText="1"/>
    </xf>
    <xf numFmtId="0" fontId="34" fillId="3" borderId="23" xfId="0" applyFont="1" applyFill="1" applyBorder="1" applyAlignment="1">
      <alignment horizontal="left"/>
    </xf>
    <xf numFmtId="0" fontId="3" fillId="3" borderId="23" xfId="0" applyFont="1" applyFill="1" applyBorder="1" applyAlignment="1">
      <alignment horizontal="left" wrapText="1"/>
    </xf>
    <xf numFmtId="0" fontId="34" fillId="5" borderId="23" xfId="0" applyFont="1" applyFill="1" applyBorder="1" applyAlignment="1">
      <alignment horizontal="center"/>
    </xf>
    <xf numFmtId="0" fontId="3" fillId="5" borderId="23" xfId="0" applyFont="1" applyFill="1" applyBorder="1"/>
    <xf numFmtId="0" fontId="34" fillId="5" borderId="23" xfId="0" applyFont="1" applyFill="1" applyBorder="1"/>
    <xf numFmtId="0" fontId="3" fillId="5" borderId="23" xfId="0" applyFont="1" applyFill="1" applyBorder="1" applyAlignment="1">
      <alignment horizontal="center"/>
    </xf>
    <xf numFmtId="164" fontId="3" fillId="3" borderId="23" xfId="0" applyNumberFormat="1" applyFont="1" applyFill="1" applyBorder="1" applyAlignment="1">
      <alignment horizontal="center"/>
    </xf>
    <xf numFmtId="164" fontId="34" fillId="3" borderId="23" xfId="1" applyNumberFormat="1" applyFont="1" applyFill="1" applyBorder="1" applyAlignment="1">
      <alignment horizontal="center" wrapText="1"/>
    </xf>
    <xf numFmtId="0" fontId="34" fillId="8" borderId="23" xfId="0" applyFont="1" applyFill="1" applyBorder="1" applyAlignment="1">
      <alignment horizontal="center" wrapText="1"/>
    </xf>
    <xf numFmtId="164" fontId="34" fillId="8" borderId="23" xfId="1" applyNumberFormat="1" applyFont="1" applyFill="1" applyBorder="1"/>
    <xf numFmtId="164" fontId="35" fillId="3" borderId="23" xfId="0" applyNumberFormat="1" applyFont="1" applyFill="1" applyBorder="1"/>
    <xf numFmtId="0" fontId="36" fillId="3" borderId="23" xfId="0" applyFont="1" applyFill="1" applyBorder="1"/>
    <xf numFmtId="0" fontId="36" fillId="8" borderId="23" xfId="0" applyFont="1" applyFill="1" applyBorder="1" applyAlignment="1">
      <alignment horizontal="left" wrapText="1"/>
    </xf>
    <xf numFmtId="0" fontId="3" fillId="8" borderId="23" xfId="0" applyFont="1" applyFill="1" applyBorder="1" applyAlignment="1">
      <alignment horizontal="center" wrapText="1"/>
    </xf>
    <xf numFmtId="164" fontId="36" fillId="8" borderId="23" xfId="1" applyNumberFormat="1" applyFont="1" applyFill="1" applyBorder="1"/>
    <xf numFmtId="0" fontId="39" fillId="3" borderId="23" xfId="0" applyFont="1" applyFill="1" applyBorder="1"/>
    <xf numFmtId="164" fontId="3" fillId="3" borderId="23" xfId="0" applyNumberFormat="1" applyFont="1" applyFill="1" applyBorder="1"/>
    <xf numFmtId="3" fontId="34" fillId="3" borderId="23" xfId="1" applyNumberFormat="1" applyFont="1" applyFill="1" applyBorder="1"/>
    <xf numFmtId="0" fontId="34" fillId="8" borderId="23" xfId="0" applyFont="1" applyFill="1" applyBorder="1" applyAlignment="1">
      <alignment horizontal="center"/>
    </xf>
    <xf numFmtId="0" fontId="41" fillId="3" borderId="23" xfId="0" applyFont="1" applyFill="1" applyBorder="1" applyAlignment="1">
      <alignment horizontal="center"/>
    </xf>
    <xf numFmtId="0" fontId="41" fillId="3" borderId="23" xfId="0" applyFont="1" applyFill="1" applyBorder="1" applyAlignment="1">
      <alignment horizontal="left"/>
    </xf>
    <xf numFmtId="0" fontId="36" fillId="8" borderId="23" xfId="0" applyFont="1" applyFill="1" applyBorder="1" applyAlignment="1">
      <alignment horizontal="center" wrapText="1"/>
    </xf>
    <xf numFmtId="0" fontId="42" fillId="8" borderId="23" xfId="0" applyFont="1" applyFill="1" applyBorder="1" applyAlignment="1">
      <alignment horizontal="center"/>
    </xf>
    <xf numFmtId="0" fontId="41" fillId="8" borderId="23" xfId="0" applyFont="1" applyFill="1" applyBorder="1" applyAlignment="1">
      <alignment horizontal="left"/>
    </xf>
    <xf numFmtId="0" fontId="34" fillId="8" borderId="23" xfId="0" applyFont="1" applyFill="1" applyBorder="1" applyAlignment="1">
      <alignment wrapText="1"/>
    </xf>
    <xf numFmtId="3" fontId="34" fillId="8" borderId="23" xfId="1" applyNumberFormat="1" applyFont="1" applyFill="1" applyBorder="1"/>
    <xf numFmtId="0" fontId="40" fillId="3" borderId="23" xfId="0" applyFont="1" applyFill="1" applyBorder="1"/>
    <xf numFmtId="0" fontId="3" fillId="3" borderId="23" xfId="0" applyFont="1" applyFill="1" applyBorder="1" applyAlignment="1">
      <alignment horizontal="right"/>
    </xf>
    <xf numFmtId="164" fontId="3" fillId="3" borderId="23" xfId="0" applyNumberFormat="1" applyFont="1" applyFill="1" applyBorder="1" applyAlignment="1">
      <alignment horizontal="left"/>
    </xf>
    <xf numFmtId="164" fontId="3" fillId="0" borderId="23" xfId="0" applyNumberFormat="1" applyFont="1" applyBorder="1"/>
    <xf numFmtId="1" fontId="3" fillId="3" borderId="23" xfId="0" applyNumberFormat="1" applyFont="1" applyFill="1" applyBorder="1"/>
    <xf numFmtId="43" fontId="36" fillId="8" borderId="23" xfId="1" applyFont="1" applyFill="1" applyBorder="1"/>
    <xf numFmtId="0" fontId="43" fillId="8" borderId="23" xfId="0" applyFont="1" applyFill="1" applyBorder="1"/>
    <xf numFmtId="0" fontId="44" fillId="8" borderId="23" xfId="0" applyFont="1" applyFill="1" applyBorder="1" applyAlignment="1">
      <alignment horizontal="left" wrapText="1"/>
    </xf>
    <xf numFmtId="0" fontId="34" fillId="0" borderId="23" xfId="0" applyFont="1" applyBorder="1" applyAlignment="1">
      <alignment horizontal="center"/>
    </xf>
    <xf numFmtId="0" fontId="48" fillId="0" borderId="0" xfId="0" applyFont="1" applyAlignment="1">
      <alignment wrapText="1"/>
    </xf>
    <xf numFmtId="0" fontId="48" fillId="0" borderId="0" xfId="0" applyFont="1" applyAlignment="1">
      <alignment vertical="center" wrapText="1"/>
    </xf>
    <xf numFmtId="0" fontId="48" fillId="0" borderId="0" xfId="0" applyFont="1" applyAlignment="1">
      <alignment horizontal="center" vertical="center" wrapText="1"/>
    </xf>
    <xf numFmtId="0" fontId="47" fillId="0" borderId="0" xfId="0" applyFont="1" applyAlignment="1">
      <alignment vertical="center" wrapText="1"/>
    </xf>
    <xf numFmtId="0" fontId="47" fillId="11" borderId="0" xfId="0" applyFont="1" applyFill="1" applyAlignment="1">
      <alignment horizontal="center" vertical="center" wrapText="1"/>
    </xf>
    <xf numFmtId="0" fontId="47" fillId="11" borderId="0" xfId="0" applyFont="1" applyFill="1" applyAlignment="1">
      <alignment horizontal="center" wrapText="1"/>
    </xf>
    <xf numFmtId="0" fontId="47" fillId="10" borderId="0" xfId="0" applyFont="1" applyFill="1" applyAlignment="1">
      <alignment vertical="center" wrapText="1"/>
    </xf>
    <xf numFmtId="0" fontId="48" fillId="10" borderId="0" xfId="0" applyFont="1" applyFill="1" applyAlignment="1">
      <alignment wrapText="1"/>
    </xf>
    <xf numFmtId="0" fontId="45" fillId="0" borderId="0" xfId="0" applyFont="1" applyAlignment="1">
      <alignment wrapText="1"/>
    </xf>
    <xf numFmtId="0" fontId="47" fillId="0" borderId="0" xfId="0" applyFont="1" applyAlignment="1">
      <alignment wrapText="1"/>
    </xf>
    <xf numFmtId="0" fontId="46" fillId="0" borderId="0" xfId="0" applyFont="1" applyAlignment="1">
      <alignment horizontal="center" vertical="center" wrapText="1"/>
    </xf>
    <xf numFmtId="0" fontId="34" fillId="0" borderId="23" xfId="0" applyFont="1" applyBorder="1"/>
    <xf numFmtId="3" fontId="3" fillId="0" borderId="23" xfId="0" applyNumberFormat="1" applyFont="1" applyBorder="1" applyAlignment="1">
      <alignment horizontal="right" vertical="center" wrapText="1"/>
    </xf>
    <xf numFmtId="3" fontId="3" fillId="0" borderId="23" xfId="0" applyNumberFormat="1" applyFont="1" applyBorder="1"/>
    <xf numFmtId="3" fontId="0" fillId="0" borderId="0" xfId="0" applyNumberFormat="1"/>
    <xf numFmtId="4" fontId="0" fillId="0" borderId="0" xfId="0" applyNumberFormat="1"/>
    <xf numFmtId="0" fontId="3" fillId="0" borderId="23" xfId="0" applyFont="1" applyBorder="1" applyAlignment="1">
      <alignment vertical="center" wrapText="1"/>
    </xf>
    <xf numFmtId="10" fontId="3" fillId="0" borderId="23" xfId="3" applyNumberFormat="1" applyFont="1" applyFill="1" applyBorder="1" applyAlignment="1">
      <alignment horizontal="center" vertical="center" wrapText="1"/>
    </xf>
    <xf numFmtId="10" fontId="3" fillId="0" borderId="23" xfId="3" applyNumberFormat="1" applyFont="1" applyBorder="1" applyAlignment="1">
      <alignment horizontal="center" vertical="center"/>
    </xf>
    <xf numFmtId="3" fontId="3" fillId="0" borderId="23" xfId="0" applyNumberFormat="1" applyFont="1" applyBorder="1" applyAlignment="1">
      <alignment vertical="center" wrapText="1"/>
    </xf>
    <xf numFmtId="0" fontId="34" fillId="11" borderId="23" xfId="0" applyFont="1" applyFill="1" applyBorder="1"/>
    <xf numFmtId="2" fontId="3" fillId="11" borderId="23" xfId="0" applyNumberFormat="1" applyFont="1" applyFill="1" applyBorder="1" applyAlignment="1">
      <alignment horizontal="right"/>
    </xf>
    <xf numFmtId="2" fontId="52" fillId="11" borderId="23" xfId="0" applyNumberFormat="1" applyFont="1" applyFill="1" applyBorder="1" applyAlignment="1">
      <alignment horizontal="right"/>
    </xf>
    <xf numFmtId="0" fontId="3" fillId="0" borderId="0" xfId="0" applyFont="1" applyAlignment="1">
      <alignment vertical="top" wrapText="1"/>
    </xf>
    <xf numFmtId="0" fontId="3" fillId="0" borderId="0" xfId="0" applyFont="1" applyAlignment="1">
      <alignment vertical="center" wrapText="1"/>
    </xf>
    <xf numFmtId="0" fontId="34" fillId="13" borderId="24" xfId="0" applyFont="1" applyFill="1" applyBorder="1" applyAlignment="1">
      <alignment horizontal="center" vertical="center" wrapText="1"/>
    </xf>
    <xf numFmtId="0" fontId="3" fillId="0" borderId="0" xfId="2" applyFont="1" applyBorder="1" applyAlignment="1">
      <alignment horizontal="left" vertical="center" wrapText="1"/>
    </xf>
    <xf numFmtId="0" fontId="3" fillId="0" borderId="0" xfId="0" applyFont="1" applyAlignment="1">
      <alignment horizontal="left" vertical="center" wrapText="1"/>
    </xf>
    <xf numFmtId="0" fontId="3" fillId="11" borderId="23" xfId="0" applyFont="1" applyFill="1" applyBorder="1"/>
    <xf numFmtId="3" fontId="53" fillId="0" borderId="23" xfId="0" applyNumberFormat="1" applyFont="1" applyBorder="1"/>
    <xf numFmtId="0" fontId="3" fillId="0" borderId="0" xfId="0" applyFont="1" applyAlignment="1">
      <alignment horizontal="center" vertical="top" wrapText="1"/>
    </xf>
    <xf numFmtId="0" fontId="34" fillId="14" borderId="23" xfId="0" applyFont="1" applyFill="1" applyBorder="1" applyAlignment="1">
      <alignment vertical="top" wrapText="1"/>
    </xf>
    <xf numFmtId="0" fontId="3" fillId="3" borderId="23" xfId="0" applyFont="1" applyFill="1" applyBorder="1" applyAlignment="1">
      <alignment horizontal="left" vertical="top" wrapText="1"/>
    </xf>
    <xf numFmtId="0" fontId="3" fillId="0" borderId="23" xfId="0" applyFont="1" applyBorder="1" applyAlignment="1">
      <alignment vertical="top" wrapText="1"/>
    </xf>
    <xf numFmtId="0" fontId="55" fillId="0" borderId="23" xfId="0" applyFont="1" applyBorder="1" applyAlignment="1">
      <alignment horizontal="center" vertical="top" wrapText="1"/>
    </xf>
    <xf numFmtId="164" fontId="56" fillId="14" borderId="23" xfId="0" applyNumberFormat="1" applyFont="1" applyFill="1" applyBorder="1" applyAlignment="1">
      <alignment horizontal="right" vertical="top" wrapText="1"/>
    </xf>
    <xf numFmtId="164" fontId="3" fillId="3" borderId="23" xfId="1" applyNumberFormat="1" applyFont="1" applyFill="1" applyBorder="1" applyAlignment="1">
      <alignment horizontal="right" vertical="top"/>
    </xf>
    <xf numFmtId="0" fontId="54" fillId="14" borderId="23" xfId="0" applyFont="1" applyFill="1" applyBorder="1" applyAlignment="1">
      <alignment horizontal="center" vertical="top" wrapText="1"/>
    </xf>
    <xf numFmtId="164" fontId="36" fillId="12" borderId="0" xfId="1" applyNumberFormat="1" applyFont="1" applyFill="1" applyAlignment="1">
      <alignment vertical="center" wrapText="1"/>
    </xf>
    <xf numFmtId="0" fontId="34" fillId="16" borderId="23" xfId="0" applyFont="1" applyFill="1" applyBorder="1" applyAlignment="1">
      <alignment horizontal="left" vertical="center" wrapText="1"/>
    </xf>
    <xf numFmtId="0" fontId="34" fillId="16" borderId="23" xfId="0" applyFont="1" applyFill="1" applyBorder="1" applyAlignment="1">
      <alignment horizontal="center" vertical="center" wrapText="1"/>
    </xf>
    <xf numFmtId="164" fontId="34" fillId="16" borderId="23" xfId="1" applyNumberFormat="1" applyFont="1" applyFill="1" applyBorder="1" applyAlignment="1">
      <alignment horizontal="right" vertical="center" wrapText="1"/>
    </xf>
    <xf numFmtId="43" fontId="34" fillId="16" borderId="23" xfId="1" applyFont="1" applyFill="1" applyBorder="1" applyAlignment="1">
      <alignment horizontal="left" vertical="center" wrapText="1"/>
    </xf>
    <xf numFmtId="0" fontId="36" fillId="0" borderId="0" xfId="0" applyFont="1" applyAlignment="1">
      <alignment vertical="center" wrapText="1"/>
    </xf>
    <xf numFmtId="0" fontId="3" fillId="0" borderId="23" xfId="0" applyFont="1" applyBorder="1" applyAlignment="1">
      <alignment horizontal="left" vertical="center" wrapText="1"/>
    </xf>
    <xf numFmtId="164" fontId="36" fillId="0" borderId="0" xfId="1" applyNumberFormat="1" applyFont="1" applyAlignment="1">
      <alignment vertical="center" wrapText="1"/>
    </xf>
    <xf numFmtId="9" fontId="36" fillId="0" borderId="0" xfId="3" applyFont="1" applyAlignment="1">
      <alignment vertical="center" wrapText="1"/>
    </xf>
    <xf numFmtId="0" fontId="3" fillId="0" borderId="23" xfId="0" applyFont="1" applyBorder="1" applyAlignment="1">
      <alignment horizontal="center" vertical="center" wrapText="1"/>
    </xf>
    <xf numFmtId="0" fontId="36" fillId="12" borderId="0" xfId="0" applyFont="1" applyFill="1" applyAlignment="1">
      <alignment vertical="center" wrapText="1"/>
    </xf>
    <xf numFmtId="0" fontId="3" fillId="12" borderId="23" xfId="0" applyFont="1" applyFill="1" applyBorder="1" applyAlignment="1">
      <alignment vertical="center" wrapText="1"/>
    </xf>
    <xf numFmtId="0" fontId="3" fillId="0" borderId="0" xfId="0" applyFont="1" applyAlignment="1">
      <alignment horizontal="center" vertical="center" wrapText="1"/>
    </xf>
    <xf numFmtId="164" fontId="3" fillId="0" borderId="0" xfId="1" applyNumberFormat="1" applyFont="1" applyFill="1" applyBorder="1" applyAlignment="1">
      <alignment horizontal="center" vertical="center" wrapText="1"/>
    </xf>
    <xf numFmtId="0" fontId="34" fillId="0" borderId="0" xfId="0" applyFont="1" applyAlignment="1">
      <alignment horizontal="left" vertical="center" wrapText="1"/>
    </xf>
    <xf numFmtId="164" fontId="3" fillId="0" borderId="0" xfId="1" applyNumberFormat="1" applyFont="1" applyBorder="1" applyAlignment="1">
      <alignment horizontal="center" vertical="center" wrapText="1"/>
    </xf>
    <xf numFmtId="0" fontId="3" fillId="0" borderId="23" xfId="3" applyNumberFormat="1" applyFont="1" applyFill="1" applyBorder="1" applyAlignment="1">
      <alignment horizontal="right" vertical="center" wrapText="1"/>
    </xf>
    <xf numFmtId="0" fontId="34" fillId="12" borderId="23" xfId="0" applyFont="1" applyFill="1" applyBorder="1" applyAlignment="1">
      <alignment horizontal="center" vertical="center" wrapText="1"/>
    </xf>
    <xf numFmtId="164" fontId="34" fillId="12" borderId="23" xfId="1" applyNumberFormat="1" applyFont="1" applyFill="1" applyBorder="1" applyAlignment="1">
      <alignment horizontal="center" vertical="center" wrapText="1"/>
    </xf>
    <xf numFmtId="43" fontId="34" fillId="12" borderId="23" xfId="1" applyFont="1" applyFill="1" applyBorder="1" applyAlignment="1">
      <alignment horizontal="center" vertical="center" wrapText="1"/>
    </xf>
    <xf numFmtId="0" fontId="3" fillId="16" borderId="23" xfId="0" applyFont="1" applyFill="1" applyBorder="1" applyAlignment="1">
      <alignment horizontal="center" vertical="center" wrapText="1"/>
    </xf>
    <xf numFmtId="164" fontId="3" fillId="0" borderId="0" xfId="1" applyNumberFormat="1" applyFont="1" applyFill="1" applyAlignment="1">
      <alignment vertical="center" wrapText="1"/>
    </xf>
    <xf numFmtId="0" fontId="36" fillId="12" borderId="0" xfId="0" applyFont="1" applyFill="1" applyAlignment="1">
      <alignment horizontal="right" vertical="center" wrapText="1"/>
    </xf>
    <xf numFmtId="49" fontId="3" fillId="0" borderId="0" xfId="0" applyNumberFormat="1" applyFont="1" applyAlignment="1">
      <alignment horizontal="center" vertical="center" wrapText="1"/>
    </xf>
    <xf numFmtId="3" fontId="34" fillId="15" borderId="23" xfId="1" applyNumberFormat="1" applyFont="1" applyFill="1" applyBorder="1" applyAlignment="1">
      <alignment horizontal="left" vertical="center" wrapText="1"/>
    </xf>
    <xf numFmtId="49" fontId="3" fillId="15" borderId="23" xfId="0" applyNumberFormat="1" applyFont="1" applyFill="1" applyBorder="1" applyAlignment="1">
      <alignment horizontal="center" vertical="center" wrapText="1"/>
    </xf>
    <xf numFmtId="3" fontId="3" fillId="15" borderId="23" xfId="1" applyNumberFormat="1" applyFont="1" applyFill="1" applyBorder="1" applyAlignment="1">
      <alignment horizontal="center" vertical="center" wrapText="1"/>
    </xf>
    <xf numFmtId="0" fontId="3" fillId="0" borderId="23" xfId="0" applyFont="1" applyBorder="1" applyAlignment="1">
      <alignment horizontal="left" vertical="top" wrapText="1"/>
    </xf>
    <xf numFmtId="0" fontId="3" fillId="0" borderId="23" xfId="0" applyFont="1" applyBorder="1" applyAlignment="1">
      <alignment horizontal="center" vertical="top" wrapText="1"/>
    </xf>
    <xf numFmtId="3" fontId="3" fillId="0" borderId="23" xfId="1" applyNumberFormat="1" applyFont="1" applyFill="1" applyBorder="1" applyAlignment="1">
      <alignment horizontal="right" vertical="top" wrapText="1"/>
    </xf>
    <xf numFmtId="0" fontId="35" fillId="12" borderId="0" xfId="0" applyFont="1" applyFill="1" applyAlignment="1">
      <alignment horizontal="right" vertical="center" wrapText="1"/>
    </xf>
    <xf numFmtId="0" fontId="35" fillId="12" borderId="0" xfId="0" applyFont="1" applyFill="1" applyAlignment="1">
      <alignment horizontal="center" vertical="center" wrapText="1"/>
    </xf>
    <xf numFmtId="3" fontId="3" fillId="0" borderId="23" xfId="3" applyNumberFormat="1" applyFont="1" applyFill="1" applyBorder="1" applyAlignment="1">
      <alignment horizontal="right" vertical="center" wrapText="1"/>
    </xf>
    <xf numFmtId="9" fontId="3" fillId="0" borderId="23" xfId="3" applyFont="1" applyFill="1" applyBorder="1" applyAlignment="1">
      <alignment horizontal="right" vertical="center" wrapText="1"/>
    </xf>
    <xf numFmtId="43" fontId="3" fillId="0" borderId="23" xfId="1" applyFont="1" applyFill="1" applyBorder="1" applyAlignment="1">
      <alignment horizontal="left" vertical="center" wrapText="1"/>
    </xf>
    <xf numFmtId="164" fontId="3" fillId="0" borderId="23" xfId="1" applyNumberFormat="1" applyFont="1" applyFill="1" applyBorder="1" applyAlignment="1">
      <alignment horizontal="right" vertical="center" wrapText="1"/>
    </xf>
    <xf numFmtId="0" fontId="3" fillId="0" borderId="23" xfId="3" applyNumberFormat="1" applyFont="1" applyBorder="1" applyAlignment="1">
      <alignment horizontal="right" vertical="center" wrapText="1"/>
    </xf>
    <xf numFmtId="164" fontId="3" fillId="0" borderId="23" xfId="1" applyNumberFormat="1" applyFont="1" applyBorder="1" applyAlignment="1">
      <alignment horizontal="center" vertical="center" wrapText="1"/>
    </xf>
    <xf numFmtId="0" fontId="3" fillId="12" borderId="23" xfId="0" applyFont="1" applyFill="1" applyBorder="1" applyAlignment="1">
      <alignment horizontal="center" vertical="center" wrapText="1"/>
    </xf>
    <xf numFmtId="0" fontId="36" fillId="0" borderId="23" xfId="0" applyFont="1" applyBorder="1" applyAlignment="1">
      <alignment horizontal="left" vertical="center" wrapText="1"/>
    </xf>
    <xf numFmtId="0" fontId="36" fillId="0" borderId="23" xfId="0" applyFont="1" applyBorder="1" applyAlignment="1">
      <alignment vertical="center" wrapText="1"/>
    </xf>
    <xf numFmtId="0" fontId="35" fillId="0" borderId="0" xfId="0" applyFont="1" applyAlignment="1">
      <alignment vertical="center" wrapText="1"/>
    </xf>
    <xf numFmtId="166" fontId="35" fillId="0" borderId="0" xfId="0" applyNumberFormat="1" applyFont="1" applyAlignment="1">
      <alignment vertical="center" wrapText="1"/>
    </xf>
    <xf numFmtId="3" fontId="36" fillId="0" borderId="23" xfId="1" applyNumberFormat="1" applyFont="1" applyFill="1" applyBorder="1" applyAlignment="1">
      <alignment horizontal="right" vertical="center" wrapText="1"/>
    </xf>
    <xf numFmtId="0" fontId="35" fillId="0" borderId="23" xfId="0" applyFont="1" applyBorder="1" applyAlignment="1">
      <alignment horizontal="left" vertical="center" wrapText="1"/>
    </xf>
    <xf numFmtId="49" fontId="36" fillId="0" borderId="23" xfId="0" applyNumberFormat="1" applyFont="1" applyBorder="1" applyAlignment="1">
      <alignment horizontal="center" vertical="center" wrapText="1"/>
    </xf>
    <xf numFmtId="37" fontId="35" fillId="0" borderId="23" xfId="1" applyNumberFormat="1" applyFont="1" applyFill="1" applyBorder="1" applyAlignment="1">
      <alignment horizontal="right" vertical="center" wrapText="1"/>
    </xf>
    <xf numFmtId="49" fontId="35" fillId="0" borderId="23" xfId="0" applyNumberFormat="1" applyFont="1" applyBorder="1" applyAlignment="1">
      <alignment horizontal="center" vertical="center" wrapText="1"/>
    </xf>
    <xf numFmtId="0" fontId="35" fillId="12" borderId="0" xfId="0" applyFont="1" applyFill="1" applyAlignment="1">
      <alignment vertical="center" wrapText="1"/>
    </xf>
    <xf numFmtId="0" fontId="36" fillId="0" borderId="23" xfId="0" applyFont="1" applyBorder="1" applyAlignment="1">
      <alignment horizontal="right" vertical="center" wrapText="1"/>
    </xf>
    <xf numFmtId="164" fontId="36" fillId="0" borderId="23" xfId="1" applyNumberFormat="1" applyFont="1" applyFill="1" applyBorder="1" applyAlignment="1">
      <alignment horizontal="right" vertical="center" wrapText="1"/>
    </xf>
    <xf numFmtId="3" fontId="35" fillId="0" borderId="23" xfId="0" applyNumberFormat="1" applyFont="1" applyBorder="1" applyAlignment="1">
      <alignment horizontal="right" vertical="center" wrapText="1"/>
    </xf>
    <xf numFmtId="49" fontId="3" fillId="0" borderId="23" xfId="0" applyNumberFormat="1" applyFont="1" applyBorder="1" applyAlignment="1">
      <alignment horizontal="center" vertical="center" wrapText="1"/>
    </xf>
    <xf numFmtId="3" fontId="36" fillId="0" borderId="23" xfId="0" applyNumberFormat="1" applyFont="1" applyBorder="1" applyAlignment="1">
      <alignment horizontal="right" vertical="center" wrapText="1"/>
    </xf>
    <xf numFmtId="0" fontId="35" fillId="0" borderId="23" xfId="0" applyFont="1" applyBorder="1" applyAlignment="1">
      <alignment vertical="center" wrapText="1"/>
    </xf>
    <xf numFmtId="0" fontId="3" fillId="12" borderId="0" xfId="0" applyFont="1" applyFill="1" applyAlignment="1">
      <alignment vertical="center" wrapText="1"/>
    </xf>
    <xf numFmtId="0" fontId="34" fillId="0" borderId="23" xfId="0" applyFont="1" applyBorder="1" applyAlignment="1">
      <alignment horizontal="center" vertical="center" wrapText="1"/>
    </xf>
    <xf numFmtId="49" fontId="34" fillId="0" borderId="23" xfId="0" applyNumberFormat="1" applyFont="1" applyBorder="1" applyAlignment="1">
      <alignment horizontal="center" vertical="center" wrapText="1"/>
    </xf>
    <xf numFmtId="164" fontId="34" fillId="0" borderId="23" xfId="1" applyNumberFormat="1" applyFont="1" applyBorder="1" applyAlignment="1">
      <alignment horizontal="center" vertical="center" wrapText="1"/>
    </xf>
    <xf numFmtId="0" fontId="34" fillId="15" borderId="23" xfId="0" applyFont="1" applyFill="1" applyBorder="1" applyAlignment="1">
      <alignment horizontal="center" vertical="center" wrapText="1"/>
    </xf>
    <xf numFmtId="0" fontId="34" fillId="15" borderId="23" xfId="0" applyFont="1" applyFill="1" applyBorder="1" applyAlignment="1">
      <alignment vertical="center" wrapText="1"/>
    </xf>
    <xf numFmtId="3" fontId="3" fillId="15" borderId="23" xfId="0" applyNumberFormat="1" applyFont="1" applyFill="1" applyBorder="1" applyAlignment="1">
      <alignment vertical="center" wrapText="1"/>
    </xf>
    <xf numFmtId="0" fontId="3" fillId="15" borderId="23" xfId="0" applyFont="1" applyFill="1" applyBorder="1" applyAlignment="1">
      <alignment horizontal="left" vertical="center" wrapText="1"/>
    </xf>
    <xf numFmtId="0" fontId="35" fillId="0" borderId="23" xfId="0" applyFont="1" applyBorder="1" applyAlignment="1">
      <alignment horizontal="center" vertical="center" wrapText="1"/>
    </xf>
    <xf numFmtId="43" fontId="36" fillId="0" borderId="23" xfId="0" applyNumberFormat="1" applyFont="1" applyBorder="1" applyAlignment="1">
      <alignment horizontal="left" vertical="center" wrapText="1"/>
    </xf>
    <xf numFmtId="0" fontId="36" fillId="11" borderId="23" xfId="0" applyFont="1" applyFill="1" applyBorder="1" applyAlignment="1">
      <alignment horizontal="right" vertical="center" wrapText="1"/>
    </xf>
    <xf numFmtId="0" fontId="34" fillId="11" borderId="23" xfId="0" applyFont="1" applyFill="1" applyBorder="1" applyAlignment="1">
      <alignment horizontal="right" vertical="center" wrapText="1"/>
    </xf>
    <xf numFmtId="49" fontId="36" fillId="11" borderId="23" xfId="0" applyNumberFormat="1" applyFont="1" applyFill="1" applyBorder="1" applyAlignment="1">
      <alignment horizontal="center" vertical="center" wrapText="1"/>
    </xf>
    <xf numFmtId="9" fontId="36" fillId="11" borderId="23" xfId="3" applyFont="1" applyFill="1" applyBorder="1" applyAlignment="1">
      <alignment horizontal="right" vertical="center" wrapText="1"/>
    </xf>
    <xf numFmtId="0" fontId="36" fillId="11" borderId="23" xfId="0" applyFont="1" applyFill="1" applyBorder="1" applyAlignment="1">
      <alignment horizontal="left" vertical="center" wrapText="1"/>
    </xf>
    <xf numFmtId="164" fontId="36" fillId="11" borderId="23" xfId="1" applyNumberFormat="1" applyFont="1" applyFill="1" applyBorder="1" applyAlignment="1">
      <alignment horizontal="right" vertical="center" wrapText="1"/>
    </xf>
    <xf numFmtId="49" fontId="36" fillId="11" borderId="23" xfId="3" applyNumberFormat="1" applyFont="1" applyFill="1" applyBorder="1" applyAlignment="1">
      <alignment horizontal="center" vertical="center" wrapText="1"/>
    </xf>
    <xf numFmtId="43" fontId="36" fillId="11" borderId="23" xfId="0" applyNumberFormat="1" applyFont="1" applyFill="1" applyBorder="1" applyAlignment="1">
      <alignment horizontal="left" vertical="center" wrapText="1"/>
    </xf>
    <xf numFmtId="0" fontId="3" fillId="11" borderId="23" xfId="0" applyFont="1" applyFill="1" applyBorder="1" applyAlignment="1">
      <alignment horizontal="center" vertical="center" wrapText="1"/>
    </xf>
    <xf numFmtId="164" fontId="36" fillId="11" borderId="23" xfId="1" applyNumberFormat="1" applyFont="1" applyFill="1" applyBorder="1" applyAlignment="1">
      <alignment horizontal="center" vertical="center" wrapText="1"/>
    </xf>
    <xf numFmtId="164" fontId="36" fillId="11" borderId="23" xfId="3" applyNumberFormat="1" applyFont="1" applyFill="1" applyBorder="1" applyAlignment="1">
      <alignment horizontal="right" vertical="center" wrapText="1"/>
    </xf>
    <xf numFmtId="164" fontId="35" fillId="11" borderId="23" xfId="1" applyNumberFormat="1" applyFont="1" applyFill="1" applyBorder="1" applyAlignment="1">
      <alignment horizontal="right" vertical="center" wrapText="1"/>
    </xf>
    <xf numFmtId="164" fontId="3" fillId="0" borderId="23" xfId="1" applyNumberFormat="1" applyFont="1" applyFill="1" applyBorder="1" applyAlignment="1">
      <alignment horizontal="center" vertical="center" wrapText="1"/>
    </xf>
    <xf numFmtId="0" fontId="3" fillId="0" borderId="26" xfId="0" applyFont="1" applyBorder="1" applyAlignment="1">
      <alignment vertical="top" wrapText="1"/>
    </xf>
    <xf numFmtId="164" fontId="36" fillId="0" borderId="0" xfId="1" applyNumberFormat="1" applyFont="1" applyFill="1" applyAlignment="1">
      <alignment vertical="center" wrapText="1"/>
    </xf>
    <xf numFmtId="0" fontId="34" fillId="17" borderId="23" xfId="0" applyFont="1" applyFill="1" applyBorder="1" applyAlignment="1">
      <alignment horizontal="center" vertical="center" wrapText="1"/>
    </xf>
    <xf numFmtId="49" fontId="34" fillId="17" borderId="23" xfId="0" applyNumberFormat="1" applyFont="1" applyFill="1" applyBorder="1" applyAlignment="1">
      <alignment horizontal="center" vertical="center" wrapText="1"/>
    </xf>
    <xf numFmtId="164" fontId="34" fillId="17" borderId="23" xfId="1" applyNumberFormat="1" applyFont="1" applyFill="1" applyBorder="1" applyAlignment="1">
      <alignment horizontal="center" vertical="center" wrapText="1"/>
    </xf>
    <xf numFmtId="0" fontId="3" fillId="0" borderId="23" xfId="0" quotePrefix="1" applyFont="1" applyBorder="1" applyAlignment="1">
      <alignment horizontal="center" vertical="center" wrapText="1"/>
    </xf>
    <xf numFmtId="0" fontId="34" fillId="0" borderId="0" xfId="0" applyFont="1" applyAlignment="1">
      <alignment vertical="top" wrapText="1"/>
    </xf>
    <xf numFmtId="0" fontId="34" fillId="0" borderId="23" xfId="0" applyFont="1" applyBorder="1" applyAlignment="1">
      <alignment horizontal="center" vertical="top" wrapText="1"/>
    </xf>
    <xf numFmtId="0" fontId="34" fillId="14" borderId="23" xfId="0" applyFont="1" applyFill="1" applyBorder="1" applyAlignment="1">
      <alignment horizontal="center" vertical="top" wrapText="1"/>
    </xf>
    <xf numFmtId="0" fontId="3" fillId="3" borderId="23" xfId="0" applyFont="1" applyFill="1" applyBorder="1" applyAlignment="1">
      <alignment vertical="top" wrapText="1"/>
    </xf>
    <xf numFmtId="0" fontId="55" fillId="0" borderId="23" xfId="0" applyFont="1" applyBorder="1" applyAlignment="1">
      <alignment vertical="top" wrapText="1"/>
    </xf>
    <xf numFmtId="3" fontId="55" fillId="0" borderId="23" xfId="1" applyNumberFormat="1" applyFont="1" applyFill="1" applyBorder="1" applyAlignment="1">
      <alignment horizontal="right" vertical="top" wrapText="1"/>
    </xf>
    <xf numFmtId="164" fontId="3" fillId="16" borderId="23" xfId="1" applyNumberFormat="1" applyFont="1" applyFill="1" applyBorder="1" applyAlignment="1">
      <alignment horizontal="center" vertical="center" wrapText="1"/>
    </xf>
    <xf numFmtId="0" fontId="3" fillId="16" borderId="23" xfId="0" applyFont="1" applyFill="1" applyBorder="1" applyAlignment="1">
      <alignment horizontal="left" vertical="center" wrapText="1"/>
    </xf>
    <xf numFmtId="0" fontId="3" fillId="16" borderId="23" xfId="0" applyFont="1" applyFill="1" applyBorder="1" applyAlignment="1">
      <alignment vertical="center" wrapText="1"/>
    </xf>
    <xf numFmtId="164" fontId="3" fillId="0" borderId="0" xfId="1" applyNumberFormat="1" applyFont="1" applyAlignment="1">
      <alignment vertical="center" wrapText="1"/>
    </xf>
    <xf numFmtId="0" fontId="58" fillId="0" borderId="0" xfId="2" applyFont="1" applyAlignment="1">
      <alignment vertical="center" wrapText="1"/>
    </xf>
    <xf numFmtId="0" fontId="3" fillId="0" borderId="23" xfId="0" applyFont="1" applyBorder="1" applyAlignment="1">
      <alignment horizontal="right" vertical="center" wrapText="1"/>
    </xf>
    <xf numFmtId="9" fontId="3" fillId="0" borderId="23" xfId="0" applyNumberFormat="1" applyFont="1" applyBorder="1" applyAlignment="1">
      <alignment horizontal="right" vertical="center" wrapText="1"/>
    </xf>
    <xf numFmtId="0" fontId="3" fillId="12" borderId="0" xfId="0" applyFont="1" applyFill="1" applyAlignment="1">
      <alignment horizontal="right" vertical="center" wrapText="1"/>
    </xf>
    <xf numFmtId="0" fontId="35" fillId="18" borderId="23" xfId="0" applyFont="1" applyFill="1" applyBorder="1" applyAlignment="1">
      <alignment horizontal="left" vertical="center" wrapText="1"/>
    </xf>
    <xf numFmtId="0" fontId="36" fillId="18" borderId="23" xfId="0" applyFont="1" applyFill="1" applyBorder="1" applyAlignment="1">
      <alignment horizontal="right" vertical="center" wrapText="1"/>
    </xf>
    <xf numFmtId="49" fontId="36" fillId="18" borderId="23" xfId="0" applyNumberFormat="1" applyFont="1" applyFill="1" applyBorder="1" applyAlignment="1">
      <alignment horizontal="center" vertical="center" wrapText="1"/>
    </xf>
    <xf numFmtId="164" fontId="36" fillId="18" borderId="23" xfId="1" applyNumberFormat="1" applyFont="1" applyFill="1" applyBorder="1" applyAlignment="1">
      <alignment horizontal="right" vertical="center" wrapText="1"/>
    </xf>
    <xf numFmtId="0" fontId="36" fillId="18" borderId="23" xfId="0" applyFont="1" applyFill="1" applyBorder="1" applyAlignment="1">
      <alignment horizontal="left" vertical="center" wrapText="1"/>
    </xf>
    <xf numFmtId="0" fontId="3" fillId="18" borderId="0" xfId="0" applyFont="1" applyFill="1" applyAlignment="1">
      <alignment vertical="center" wrapText="1"/>
    </xf>
    <xf numFmtId="0" fontId="36" fillId="18" borderId="0" xfId="0" applyFont="1" applyFill="1" applyAlignment="1">
      <alignment vertical="center" wrapText="1"/>
    </xf>
    <xf numFmtId="164" fontId="36" fillId="12" borderId="23" xfId="1" applyNumberFormat="1" applyFont="1" applyFill="1" applyBorder="1" applyAlignment="1">
      <alignment horizontal="right" vertical="center" wrapText="1"/>
    </xf>
    <xf numFmtId="0" fontId="35" fillId="18" borderId="23" xfId="0" applyFont="1" applyFill="1" applyBorder="1" applyAlignment="1">
      <alignment horizontal="center" vertical="center" wrapText="1"/>
    </xf>
    <xf numFmtId="49" fontId="35" fillId="18" borderId="23" xfId="0" applyNumberFormat="1" applyFont="1" applyFill="1" applyBorder="1" applyAlignment="1">
      <alignment horizontal="center" vertical="center" wrapText="1"/>
    </xf>
    <xf numFmtId="37" fontId="35" fillId="18" borderId="23" xfId="1" applyNumberFormat="1" applyFont="1" applyFill="1" applyBorder="1" applyAlignment="1">
      <alignment horizontal="right" vertical="center" wrapText="1"/>
    </xf>
    <xf numFmtId="0" fontId="35" fillId="18" borderId="23" xfId="0" applyFont="1" applyFill="1" applyBorder="1" applyAlignment="1">
      <alignment vertical="center" wrapText="1"/>
    </xf>
    <xf numFmtId="49" fontId="3" fillId="18" borderId="23" xfId="0" applyNumberFormat="1" applyFont="1" applyFill="1" applyBorder="1" applyAlignment="1">
      <alignment horizontal="center" vertical="center" wrapText="1"/>
    </xf>
    <xf numFmtId="0" fontId="35" fillId="18" borderId="0" xfId="0" applyFont="1" applyFill="1" applyAlignment="1">
      <alignment horizontal="right" vertical="center" wrapText="1"/>
    </xf>
    <xf numFmtId="0" fontId="35" fillId="18"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2" fillId="0" borderId="0" xfId="0" applyFont="1" applyAlignment="1">
      <alignment horizontal="center"/>
    </xf>
    <xf numFmtId="0" fontId="34" fillId="0" borderId="0" xfId="0" applyFont="1" applyAlignment="1">
      <alignment horizontal="center" vertical="center" wrapText="1"/>
    </xf>
    <xf numFmtId="49" fontId="3" fillId="15" borderId="28" xfId="0" applyNumberFormat="1" applyFont="1" applyFill="1" applyBorder="1" applyAlignment="1">
      <alignment horizontal="left" vertical="center" wrapText="1"/>
    </xf>
    <xf numFmtId="49" fontId="3" fillId="15" borderId="24" xfId="0" applyNumberFormat="1" applyFont="1" applyFill="1" applyBorder="1" applyAlignment="1">
      <alignment horizontal="left" vertical="center" wrapText="1"/>
    </xf>
    <xf numFmtId="49" fontId="3" fillId="15" borderId="27" xfId="0" applyNumberFormat="1" applyFont="1" applyFill="1" applyBorder="1" applyAlignment="1">
      <alignment horizontal="left" vertical="center" wrapText="1"/>
    </xf>
    <xf numFmtId="0" fontId="34" fillId="0" borderId="0" xfId="0" applyFont="1" applyAlignment="1">
      <alignment horizontal="center" vertical="top" wrapText="1"/>
    </xf>
    <xf numFmtId="0" fontId="34" fillId="0" borderId="23" xfId="0" applyFont="1" applyBorder="1" applyAlignment="1">
      <alignment horizontal="left" vertical="top" wrapText="1"/>
    </xf>
    <xf numFmtId="0" fontId="34" fillId="0" borderId="0" xfId="0" applyFont="1" applyAlignment="1">
      <alignment horizontal="left" vertical="top" wrapText="1"/>
    </xf>
    <xf numFmtId="0" fontId="34" fillId="13" borderId="25" xfId="0" applyFont="1" applyFill="1" applyBorder="1" applyAlignment="1">
      <alignment horizontal="center" vertical="center" wrapText="1"/>
    </xf>
    <xf numFmtId="0" fontId="3" fillId="0" borderId="0" xfId="2"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6" fillId="0" borderId="0" xfId="0" applyFont="1" applyAlignment="1">
      <alignment horizontal="center" vertical="center" wrapText="1"/>
    </xf>
    <xf numFmtId="0" fontId="36" fillId="8" borderId="23" xfId="0" applyFont="1" applyFill="1" applyBorder="1" applyAlignment="1">
      <alignment horizontal="left" wrapText="1"/>
    </xf>
    <xf numFmtId="0" fontId="3" fillId="12" borderId="23" xfId="0" applyFont="1" applyFill="1" applyBorder="1" applyAlignment="1">
      <alignment horizontal="left" wrapText="1"/>
    </xf>
    <xf numFmtId="0" fontId="34" fillId="8" borderId="23" xfId="0" applyFont="1" applyFill="1" applyBorder="1" applyAlignment="1">
      <alignment horizontal="left" wrapText="1"/>
    </xf>
    <xf numFmtId="0" fontId="35" fillId="3" borderId="23" xfId="0" applyFont="1" applyFill="1" applyBorder="1" applyAlignment="1">
      <alignment horizontal="left" wrapText="1"/>
    </xf>
    <xf numFmtId="0" fontId="13" fillId="6" borderId="11" xfId="0" applyFont="1" applyFill="1" applyBorder="1" applyAlignment="1">
      <alignment horizontal="left" wrapText="1"/>
    </xf>
    <xf numFmtId="0" fontId="13" fillId="6" borderId="4" xfId="0" applyFont="1" applyFill="1" applyBorder="1" applyAlignment="1">
      <alignment horizontal="left" wrapText="1"/>
    </xf>
    <xf numFmtId="0" fontId="20" fillId="0" borderId="1" xfId="0" applyFont="1" applyBorder="1" applyAlignment="1">
      <alignment horizontal="left" wrapText="1"/>
    </xf>
    <xf numFmtId="0" fontId="21" fillId="0" borderId="1" xfId="0" applyFont="1" applyBorder="1" applyAlignment="1">
      <alignment horizontal="left" wrapText="1"/>
    </xf>
    <xf numFmtId="0" fontId="20" fillId="3" borderId="1" xfId="0" applyFont="1" applyFill="1" applyBorder="1" applyAlignment="1">
      <alignment horizontal="left" wrapText="1"/>
    </xf>
    <xf numFmtId="0" fontId="11" fillId="6" borderId="1" xfId="0" applyFont="1" applyFill="1" applyBorder="1" applyAlignment="1">
      <alignment horizontal="left" wrapText="1"/>
    </xf>
    <xf numFmtId="0" fontId="13" fillId="9" borderId="4" xfId="0" applyFont="1" applyFill="1" applyBorder="1" applyAlignment="1">
      <alignment horizontal="left" wrapText="1"/>
    </xf>
    <xf numFmtId="0" fontId="11" fillId="2" borderId="4" xfId="0" applyFont="1" applyFill="1" applyBorder="1" applyAlignment="1">
      <alignment horizontal="left" wrapText="1"/>
    </xf>
    <xf numFmtId="0" fontId="22" fillId="3" borderId="1" xfId="0" applyFont="1" applyFill="1" applyBorder="1" applyAlignment="1">
      <alignment horizontal="left" wrapText="1"/>
    </xf>
    <xf numFmtId="0" fontId="20" fillId="3" borderId="15" xfId="0" applyFont="1" applyFill="1" applyBorder="1" applyAlignment="1">
      <alignment horizontal="left" wrapText="1"/>
    </xf>
    <xf numFmtId="0" fontId="13" fillId="2" borderId="11" xfId="0" applyFont="1" applyFill="1" applyBorder="1" applyAlignment="1">
      <alignment horizontal="left" wrapText="1"/>
    </xf>
    <xf numFmtId="0" fontId="11" fillId="7" borderId="1" xfId="0" applyFont="1" applyFill="1" applyBorder="1" applyAlignment="1">
      <alignment horizontal="left" wrapText="1"/>
    </xf>
    <xf numFmtId="0" fontId="11" fillId="9" borderId="1" xfId="0" applyFont="1" applyFill="1" applyBorder="1" applyAlignment="1">
      <alignment horizontal="left" wrapText="1"/>
    </xf>
    <xf numFmtId="0" fontId="11" fillId="2" borderId="1" xfId="0" applyFont="1" applyFill="1" applyBorder="1" applyAlignment="1">
      <alignment horizontal="left" wrapText="1"/>
    </xf>
    <xf numFmtId="0" fontId="13" fillId="7" borderId="11" xfId="0" applyFont="1" applyFill="1" applyBorder="1" applyAlignment="1">
      <alignment horizontal="left" wrapText="1"/>
    </xf>
    <xf numFmtId="0" fontId="13" fillId="7" borderId="4" xfId="0" applyFont="1" applyFill="1" applyBorder="1" applyAlignment="1">
      <alignment horizontal="left" wrapText="1"/>
    </xf>
    <xf numFmtId="0" fontId="13" fillId="9" borderId="11" xfId="0" applyFont="1" applyFill="1" applyBorder="1" applyAlignment="1">
      <alignment horizontal="left" wrapText="1"/>
    </xf>
  </cellXfs>
  <cellStyles count="5">
    <cellStyle name="Comma" xfId="1" builtinId="3"/>
    <cellStyle name="Hyperlink" xfId="2" builtinId="8"/>
    <cellStyle name="Normal" xfId="0" builtinId="0"/>
    <cellStyle name="Normal 2" xfId="4"/>
    <cellStyle name="Percent" xfId="3" builtinId="5"/>
  </cellStyles>
  <dxfs count="10">
    <dxf>
      <numFmt numFmtId="4" formatCode="#,##0.00"/>
    </dxf>
    <dxf>
      <numFmt numFmtId="3" formatCode="#,##0"/>
    </dxf>
    <dxf>
      <numFmt numFmtId="3" formatCode="#,##0"/>
    </dxf>
    <dxf>
      <numFmt numFmtId="3" formatCode="#,##0"/>
    </dxf>
    <dxf>
      <numFmt numFmtId="3" formatCode="#,##0"/>
    </dxf>
    <dxf>
      <numFmt numFmtId="4" formatCode="#,##0.00"/>
    </dxf>
    <dxf>
      <numFmt numFmtId="3" formatCode="#,##0"/>
    </dxf>
    <dxf>
      <numFmt numFmtId="3" formatCode="#,##0"/>
    </dxf>
    <dxf>
      <numFmt numFmtId="3" formatCode="#,##0"/>
    </dxf>
    <dxf>
      <numFmt numFmtId="3" formatCode="#,##0"/>
    </dxf>
  </dxfs>
  <tableStyles count="0" defaultTableStyle="TableStyleMedium9" defaultPivotStyle="PivotStyleLight16"/>
  <colors>
    <mruColors>
      <color rgb="FFF4EDDA"/>
      <color rgb="FFF2F5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'Forecast XK'!$B$1</c:f>
              <c:strCache>
                <c:ptCount val="1"/>
                <c:pt idx="0">
                  <c:v>Values</c:v>
                </c:pt>
              </c:strCache>
            </c:strRef>
          </c:tx>
          <c:spPr>
            <a:ln w="28575" cap="rnd">
              <a:solidFill>
                <a:schemeClr val="accent1"/>
              </a:solidFill>
              <a:round/>
            </a:ln>
            <a:effectLst/>
          </c:spPr>
          <c:marker>
            <c:symbol val="none"/>
          </c:marker>
          <c:val>
            <c:numRef>
              <c:f>'Forecast XK'!$B$2:$B$9</c:f>
              <c:numCache>
                <c:formatCode>#,##0</c:formatCode>
                <c:ptCount val="8"/>
                <c:pt idx="0">
                  <c:v>3598900</c:v>
                </c:pt>
                <c:pt idx="1">
                  <c:v>4160000</c:v>
                </c:pt>
                <c:pt idx="2">
                  <c:v>5220000</c:v>
                </c:pt>
                <c:pt idx="3">
                  <c:v>5420000</c:v>
                </c:pt>
                <c:pt idx="4">
                  <c:v>4407301</c:v>
                </c:pt>
                <c:pt idx="5">
                  <c:v>5264328</c:v>
                </c:pt>
              </c:numCache>
            </c:numRef>
          </c:val>
          <c:smooth val="0"/>
          <c:extLst xmlns:c16r2="http://schemas.microsoft.com/office/drawing/2015/06/chart">
            <c:ext xmlns:c16="http://schemas.microsoft.com/office/drawing/2014/chart" uri="{C3380CC4-5D6E-409C-BE32-E72D297353CC}">
              <c16:uniqueId val="{00000000-FB5A-400D-AC67-222F085FE087}"/>
            </c:ext>
          </c:extLst>
        </c:ser>
        <c:ser>
          <c:idx val="1"/>
          <c:order val="1"/>
          <c:tx>
            <c:strRef>
              <c:f>'Forecast XK'!$C$1</c:f>
              <c:strCache>
                <c:ptCount val="1"/>
                <c:pt idx="0">
                  <c:v>Forecast</c:v>
                </c:pt>
              </c:strCache>
            </c:strRef>
          </c:tx>
          <c:spPr>
            <a:ln w="25400" cap="rnd">
              <a:solidFill>
                <a:schemeClr val="accent2"/>
              </a:solidFill>
              <a:round/>
            </a:ln>
            <a:effectLst/>
          </c:spPr>
          <c:marker>
            <c:symbol val="none"/>
          </c:marker>
          <c:cat>
            <c:numRef>
              <c:f>'Forecast XK'!$A$2:$A$9</c:f>
              <c:numCache>
                <c:formatCode>General</c:formatCode>
                <c:ptCount val="8"/>
                <c:pt idx="0">
                  <c:v>2014</c:v>
                </c:pt>
                <c:pt idx="1">
                  <c:v>2015</c:v>
                </c:pt>
                <c:pt idx="2">
                  <c:v>2016</c:v>
                </c:pt>
                <c:pt idx="3">
                  <c:v>2017</c:v>
                </c:pt>
                <c:pt idx="4">
                  <c:v>2018</c:v>
                </c:pt>
                <c:pt idx="5">
                  <c:v>2019</c:v>
                </c:pt>
                <c:pt idx="6">
                  <c:v>2020</c:v>
                </c:pt>
                <c:pt idx="7">
                  <c:v>2021</c:v>
                </c:pt>
              </c:numCache>
            </c:numRef>
          </c:cat>
          <c:val>
            <c:numRef>
              <c:f>'Forecast XK'!$C$2:$C$9</c:f>
              <c:numCache>
                <c:formatCode>General</c:formatCode>
                <c:ptCount val="8"/>
                <c:pt idx="5" formatCode="#,##0">
                  <c:v>5264328</c:v>
                </c:pt>
                <c:pt idx="6" formatCode="#,##0">
                  <c:v>5366935.0764866685</c:v>
                </c:pt>
                <c:pt idx="7" formatCode="#,##0">
                  <c:v>5588798.5730608655</c:v>
                </c:pt>
              </c:numCache>
            </c:numRef>
          </c:val>
          <c:smooth val="0"/>
          <c:extLst xmlns:c16r2="http://schemas.microsoft.com/office/drawing/2015/06/chart">
            <c:ext xmlns:c16="http://schemas.microsoft.com/office/drawing/2014/chart" uri="{C3380CC4-5D6E-409C-BE32-E72D297353CC}">
              <c16:uniqueId val="{00000001-FB5A-400D-AC67-222F085FE087}"/>
            </c:ext>
          </c:extLst>
        </c:ser>
        <c:ser>
          <c:idx val="2"/>
          <c:order val="2"/>
          <c:tx>
            <c:strRef>
              <c:f>'Forecast XK'!$D$1</c:f>
              <c:strCache>
                <c:ptCount val="1"/>
                <c:pt idx="0">
                  <c:v>Lower Confidence Bound</c:v>
                </c:pt>
              </c:strCache>
            </c:strRef>
          </c:tx>
          <c:spPr>
            <a:ln w="12700" cap="rnd">
              <a:solidFill>
                <a:srgbClr val="C0504D"/>
              </a:solidFill>
              <a:prstDash val="solid"/>
              <a:round/>
            </a:ln>
            <a:effectLst/>
          </c:spPr>
          <c:marker>
            <c:symbol val="none"/>
          </c:marker>
          <c:cat>
            <c:numRef>
              <c:f>'Forecast XK'!$A$2:$A$9</c:f>
              <c:numCache>
                <c:formatCode>General</c:formatCode>
                <c:ptCount val="8"/>
                <c:pt idx="0">
                  <c:v>2014</c:v>
                </c:pt>
                <c:pt idx="1">
                  <c:v>2015</c:v>
                </c:pt>
                <c:pt idx="2">
                  <c:v>2016</c:v>
                </c:pt>
                <c:pt idx="3">
                  <c:v>2017</c:v>
                </c:pt>
                <c:pt idx="4">
                  <c:v>2018</c:v>
                </c:pt>
                <c:pt idx="5">
                  <c:v>2019</c:v>
                </c:pt>
                <c:pt idx="6">
                  <c:v>2020</c:v>
                </c:pt>
                <c:pt idx="7">
                  <c:v>2021</c:v>
                </c:pt>
              </c:numCache>
            </c:numRef>
          </c:cat>
          <c:val>
            <c:numRef>
              <c:f>'Forecast XK'!$D$2:$D$9</c:f>
              <c:numCache>
                <c:formatCode>General</c:formatCode>
                <c:ptCount val="8"/>
                <c:pt idx="5" formatCode="#,##0">
                  <c:v>5264328</c:v>
                </c:pt>
                <c:pt idx="6" formatCode="#,##0">
                  <c:v>4131358.1841753898</c:v>
                </c:pt>
                <c:pt idx="7" formatCode="#,##0">
                  <c:v>4314894.8287995057</c:v>
                </c:pt>
              </c:numCache>
            </c:numRef>
          </c:val>
          <c:smooth val="0"/>
          <c:extLst xmlns:c16r2="http://schemas.microsoft.com/office/drawing/2015/06/chart">
            <c:ext xmlns:c16="http://schemas.microsoft.com/office/drawing/2014/chart" uri="{C3380CC4-5D6E-409C-BE32-E72D297353CC}">
              <c16:uniqueId val="{00000002-FB5A-400D-AC67-222F085FE087}"/>
            </c:ext>
          </c:extLst>
        </c:ser>
        <c:ser>
          <c:idx val="3"/>
          <c:order val="3"/>
          <c:tx>
            <c:strRef>
              <c:f>'Forecast XK'!$E$1</c:f>
              <c:strCache>
                <c:ptCount val="1"/>
                <c:pt idx="0">
                  <c:v>Upper Confidence Bound</c:v>
                </c:pt>
              </c:strCache>
            </c:strRef>
          </c:tx>
          <c:spPr>
            <a:ln w="12700" cap="rnd">
              <a:solidFill>
                <a:srgbClr val="C0504D"/>
              </a:solidFill>
              <a:prstDash val="solid"/>
              <a:round/>
            </a:ln>
            <a:effectLst/>
          </c:spPr>
          <c:marker>
            <c:symbol val="none"/>
          </c:marker>
          <c:cat>
            <c:numRef>
              <c:f>'Forecast XK'!$A$2:$A$9</c:f>
              <c:numCache>
                <c:formatCode>General</c:formatCode>
                <c:ptCount val="8"/>
                <c:pt idx="0">
                  <c:v>2014</c:v>
                </c:pt>
                <c:pt idx="1">
                  <c:v>2015</c:v>
                </c:pt>
                <c:pt idx="2">
                  <c:v>2016</c:v>
                </c:pt>
                <c:pt idx="3">
                  <c:v>2017</c:v>
                </c:pt>
                <c:pt idx="4">
                  <c:v>2018</c:v>
                </c:pt>
                <c:pt idx="5">
                  <c:v>2019</c:v>
                </c:pt>
                <c:pt idx="6">
                  <c:v>2020</c:v>
                </c:pt>
                <c:pt idx="7">
                  <c:v>2021</c:v>
                </c:pt>
              </c:numCache>
            </c:numRef>
          </c:cat>
          <c:val>
            <c:numRef>
              <c:f>'Forecast XK'!$E$2:$E$9</c:f>
              <c:numCache>
                <c:formatCode>General</c:formatCode>
                <c:ptCount val="8"/>
                <c:pt idx="5" formatCode="#,##0">
                  <c:v>5264328</c:v>
                </c:pt>
                <c:pt idx="6" formatCode="#,##0">
                  <c:v>6602511.9687979473</c:v>
                </c:pt>
                <c:pt idx="7" formatCode="#,##0">
                  <c:v>6862702.3173222253</c:v>
                </c:pt>
              </c:numCache>
            </c:numRef>
          </c:val>
          <c:smooth val="0"/>
          <c:extLst xmlns:c16r2="http://schemas.microsoft.com/office/drawing/2015/06/chart">
            <c:ext xmlns:c16="http://schemas.microsoft.com/office/drawing/2014/chart" uri="{C3380CC4-5D6E-409C-BE32-E72D297353CC}">
              <c16:uniqueId val="{00000003-FB5A-400D-AC67-222F085FE087}"/>
            </c:ext>
          </c:extLst>
        </c:ser>
        <c:dLbls>
          <c:showLegendKey val="0"/>
          <c:showVal val="0"/>
          <c:showCatName val="0"/>
          <c:showSerName val="0"/>
          <c:showPercent val="0"/>
          <c:showBubbleSize val="0"/>
        </c:dLbls>
        <c:smooth val="0"/>
        <c:axId val="190147216"/>
        <c:axId val="190147776"/>
      </c:lineChart>
      <c:catAx>
        <c:axId val="190147216"/>
        <c:scaling>
          <c:orientation val="minMax"/>
        </c:scaling>
        <c:delete val="0"/>
        <c:axPos val="b"/>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147776"/>
        <c:crosses val="autoZero"/>
        <c:auto val="1"/>
        <c:lblAlgn val="ctr"/>
        <c:lblOffset val="100"/>
        <c:noMultiLvlLbl val="0"/>
      </c:catAx>
      <c:valAx>
        <c:axId val="190147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147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'Forecast NK'!$B$1</c:f>
              <c:strCache>
                <c:ptCount val="1"/>
                <c:pt idx="0">
                  <c:v>Values</c:v>
                </c:pt>
              </c:strCache>
            </c:strRef>
          </c:tx>
          <c:spPr>
            <a:ln w="28575" cap="rnd">
              <a:solidFill>
                <a:schemeClr val="accent1"/>
              </a:solidFill>
              <a:round/>
            </a:ln>
            <a:effectLst/>
          </c:spPr>
          <c:marker>
            <c:symbol val="none"/>
          </c:marker>
          <c:dLbls>
            <c:delete val="1"/>
          </c:dLbls>
          <c:val>
            <c:numRef>
              <c:f>'Forecast NK'!$B$2:$B$9</c:f>
              <c:numCache>
                <c:formatCode>#,##0</c:formatCode>
                <c:ptCount val="8"/>
                <c:pt idx="0">
                  <c:v>3629300</c:v>
                </c:pt>
                <c:pt idx="1">
                  <c:v>4350000</c:v>
                </c:pt>
                <c:pt idx="2">
                  <c:v>4760000</c:v>
                </c:pt>
                <c:pt idx="3">
                  <c:v>5890000</c:v>
                </c:pt>
                <c:pt idx="4">
                  <c:v>5182109</c:v>
                </c:pt>
                <c:pt idx="5">
                  <c:v>5271581</c:v>
                </c:pt>
              </c:numCache>
            </c:numRef>
          </c:val>
          <c:smooth val="0"/>
          <c:extLst xmlns:c16r2="http://schemas.microsoft.com/office/drawing/2015/06/chart">
            <c:ext xmlns:c16="http://schemas.microsoft.com/office/drawing/2014/chart" uri="{C3380CC4-5D6E-409C-BE32-E72D297353CC}">
              <c16:uniqueId val="{00000000-EEDA-4BAA-8755-2692FCA0500A}"/>
            </c:ext>
          </c:extLst>
        </c:ser>
        <c:ser>
          <c:idx val="1"/>
          <c:order val="1"/>
          <c:tx>
            <c:strRef>
              <c:f>'Forecast NK'!$C$1</c:f>
              <c:strCache>
                <c:ptCount val="1"/>
                <c:pt idx="0">
                  <c:v>Forecast</c:v>
                </c:pt>
              </c:strCache>
            </c:strRef>
          </c:tx>
          <c:spPr>
            <a:ln w="25400" cap="rnd">
              <a:solidFill>
                <a:schemeClr val="accent2"/>
              </a:solidFill>
              <a:round/>
            </a:ln>
            <a:effectLst/>
          </c:spPr>
          <c:marker>
            <c:symbol val="none"/>
          </c:marker>
          <c:dLbls>
            <c:delete val="1"/>
          </c:dLbls>
          <c:trendline>
            <c:spPr>
              <a:ln w="19050" cap="rnd">
                <a:solidFill>
                  <a:schemeClr val="accent2"/>
                </a:solidFill>
                <a:prstDash val="sysDot"/>
              </a:ln>
              <a:effectLst/>
            </c:spPr>
            <c:trendlineType val="linear"/>
            <c:dispRSqr val="0"/>
            <c:dispEq val="0"/>
          </c:trendline>
          <c:cat>
            <c:numRef>
              <c:f>'Forecast NK'!$A$2:$A$9</c:f>
              <c:numCache>
                <c:formatCode>General</c:formatCode>
                <c:ptCount val="8"/>
                <c:pt idx="0">
                  <c:v>2014</c:v>
                </c:pt>
                <c:pt idx="1">
                  <c:v>2015</c:v>
                </c:pt>
                <c:pt idx="2">
                  <c:v>2016</c:v>
                </c:pt>
                <c:pt idx="3">
                  <c:v>2017</c:v>
                </c:pt>
                <c:pt idx="4">
                  <c:v>2018</c:v>
                </c:pt>
                <c:pt idx="5">
                  <c:v>2019</c:v>
                </c:pt>
                <c:pt idx="6">
                  <c:v>2020</c:v>
                </c:pt>
                <c:pt idx="7">
                  <c:v>2021</c:v>
                </c:pt>
              </c:numCache>
            </c:numRef>
          </c:cat>
          <c:val>
            <c:numRef>
              <c:f>'Forecast NK'!$C$2:$C$9</c:f>
              <c:numCache>
                <c:formatCode>General</c:formatCode>
                <c:ptCount val="8"/>
                <c:pt idx="5" formatCode="#,##0">
                  <c:v>5271581</c:v>
                </c:pt>
                <c:pt idx="6" formatCode="#,##0">
                  <c:v>5803683.8767612455</c:v>
                </c:pt>
                <c:pt idx="7" formatCode="#,##0">
                  <c:v>6102773.1712489873</c:v>
                </c:pt>
              </c:numCache>
            </c:numRef>
          </c:val>
          <c:smooth val="0"/>
          <c:extLst xmlns:c16r2="http://schemas.microsoft.com/office/drawing/2015/06/chart">
            <c:ext xmlns:c16="http://schemas.microsoft.com/office/drawing/2014/chart" uri="{C3380CC4-5D6E-409C-BE32-E72D297353CC}">
              <c16:uniqueId val="{00000001-EEDA-4BAA-8755-2692FCA0500A}"/>
            </c:ext>
          </c:extLst>
        </c:ser>
        <c:ser>
          <c:idx val="2"/>
          <c:order val="2"/>
          <c:tx>
            <c:strRef>
              <c:f>'Forecast NK'!$D$1</c:f>
              <c:strCache>
                <c:ptCount val="1"/>
                <c:pt idx="0">
                  <c:v>Lower Confidence Bound</c:v>
                </c:pt>
              </c:strCache>
            </c:strRef>
          </c:tx>
          <c:spPr>
            <a:ln w="12700" cap="rnd">
              <a:solidFill>
                <a:srgbClr val="C0504D"/>
              </a:solidFill>
              <a:prstDash val="solid"/>
              <a:round/>
            </a:ln>
            <a:effectLst/>
          </c:spPr>
          <c:marker>
            <c:symbol val="none"/>
          </c:marker>
          <c:dLbls>
            <c:delete val="1"/>
          </c:dLbls>
          <c:errBars>
            <c:errDir val="y"/>
            <c:errBarType val="both"/>
            <c:errValType val="stdErr"/>
            <c:noEndCap val="0"/>
            <c:spPr>
              <a:noFill/>
              <a:ln w="9525" cap="flat" cmpd="sng" algn="ctr">
                <a:solidFill>
                  <a:schemeClr val="tx1">
                    <a:lumMod val="65000"/>
                    <a:lumOff val="35000"/>
                  </a:schemeClr>
                </a:solidFill>
                <a:round/>
              </a:ln>
              <a:effectLst/>
            </c:spPr>
          </c:errBars>
          <c:cat>
            <c:numRef>
              <c:f>'Forecast NK'!$A$2:$A$9</c:f>
              <c:numCache>
                <c:formatCode>General</c:formatCode>
                <c:ptCount val="8"/>
                <c:pt idx="0">
                  <c:v>2014</c:v>
                </c:pt>
                <c:pt idx="1">
                  <c:v>2015</c:v>
                </c:pt>
                <c:pt idx="2">
                  <c:v>2016</c:v>
                </c:pt>
                <c:pt idx="3">
                  <c:v>2017</c:v>
                </c:pt>
                <c:pt idx="4">
                  <c:v>2018</c:v>
                </c:pt>
                <c:pt idx="5">
                  <c:v>2019</c:v>
                </c:pt>
                <c:pt idx="6">
                  <c:v>2020</c:v>
                </c:pt>
                <c:pt idx="7">
                  <c:v>2021</c:v>
                </c:pt>
              </c:numCache>
            </c:numRef>
          </c:cat>
          <c:val>
            <c:numRef>
              <c:f>'Forecast NK'!$D$2:$D$9</c:f>
              <c:numCache>
                <c:formatCode>General</c:formatCode>
                <c:ptCount val="8"/>
                <c:pt idx="5" formatCode="#,##0">
                  <c:v>5271581</c:v>
                </c:pt>
                <c:pt idx="6" formatCode="#,##0">
                  <c:v>4746419.1226002946</c:v>
                </c:pt>
                <c:pt idx="7" formatCode="#,##0">
                  <c:v>4920242.0397104044</c:v>
                </c:pt>
              </c:numCache>
            </c:numRef>
          </c:val>
          <c:smooth val="0"/>
          <c:extLst xmlns:c16r2="http://schemas.microsoft.com/office/drawing/2015/06/chart">
            <c:ext xmlns:c16="http://schemas.microsoft.com/office/drawing/2014/chart" uri="{C3380CC4-5D6E-409C-BE32-E72D297353CC}">
              <c16:uniqueId val="{00000002-EEDA-4BAA-8755-2692FCA0500A}"/>
            </c:ext>
          </c:extLst>
        </c:ser>
        <c:ser>
          <c:idx val="3"/>
          <c:order val="3"/>
          <c:tx>
            <c:strRef>
              <c:f>'Forecast NK'!$E$1</c:f>
              <c:strCache>
                <c:ptCount val="1"/>
                <c:pt idx="0">
                  <c:v>Upper Confidence Bound</c:v>
                </c:pt>
              </c:strCache>
            </c:strRef>
          </c:tx>
          <c:spPr>
            <a:ln w="12700" cap="rnd">
              <a:solidFill>
                <a:srgbClr val="C0504D"/>
              </a:solidFill>
              <a:prstDash val="solid"/>
              <a:round/>
            </a:ln>
            <a:effectLst/>
          </c:spPr>
          <c:marker>
            <c:symbol val="none"/>
          </c:marker>
          <c:dLbls>
            <c:delete val="1"/>
          </c:dLbls>
          <c:cat>
            <c:numRef>
              <c:f>'Forecast NK'!$A$2:$A$9</c:f>
              <c:numCache>
                <c:formatCode>General</c:formatCode>
                <c:ptCount val="8"/>
                <c:pt idx="0">
                  <c:v>2014</c:v>
                </c:pt>
                <c:pt idx="1">
                  <c:v>2015</c:v>
                </c:pt>
                <c:pt idx="2">
                  <c:v>2016</c:v>
                </c:pt>
                <c:pt idx="3">
                  <c:v>2017</c:v>
                </c:pt>
                <c:pt idx="4">
                  <c:v>2018</c:v>
                </c:pt>
                <c:pt idx="5">
                  <c:v>2019</c:v>
                </c:pt>
                <c:pt idx="6">
                  <c:v>2020</c:v>
                </c:pt>
                <c:pt idx="7">
                  <c:v>2021</c:v>
                </c:pt>
              </c:numCache>
            </c:numRef>
          </c:cat>
          <c:val>
            <c:numRef>
              <c:f>'Forecast NK'!$E$2:$E$9</c:f>
              <c:numCache>
                <c:formatCode>General</c:formatCode>
                <c:ptCount val="8"/>
                <c:pt idx="5" formatCode="#,##0">
                  <c:v>5271581</c:v>
                </c:pt>
                <c:pt idx="6" formatCode="#,##0">
                  <c:v>6860948.6309221964</c:v>
                </c:pt>
                <c:pt idx="7" formatCode="#,##0">
                  <c:v>7285304.3027875703</c:v>
                </c:pt>
              </c:numCache>
            </c:numRef>
          </c:val>
          <c:smooth val="0"/>
          <c:extLst xmlns:c16r2="http://schemas.microsoft.com/office/drawing/2015/06/chart">
            <c:ext xmlns:c16="http://schemas.microsoft.com/office/drawing/2014/chart" uri="{C3380CC4-5D6E-409C-BE32-E72D297353CC}">
              <c16:uniqueId val="{00000003-EEDA-4BAA-8755-2692FCA0500A}"/>
            </c:ext>
          </c:extLst>
        </c:ser>
        <c:dLbls>
          <c:dLblPos val="t"/>
          <c:showLegendKey val="0"/>
          <c:showVal val="1"/>
          <c:showCatName val="0"/>
          <c:showSerName val="0"/>
          <c:showPercent val="0"/>
          <c:showBubbleSize val="0"/>
        </c:dLbls>
        <c:smooth val="0"/>
        <c:axId val="190152256"/>
        <c:axId val="190152816"/>
      </c:lineChart>
      <c:catAx>
        <c:axId val="190152256"/>
        <c:scaling>
          <c:orientation val="minMax"/>
        </c:scaling>
        <c:delete val="0"/>
        <c:axPos val="b"/>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152816"/>
        <c:crosses val="autoZero"/>
        <c:auto val="1"/>
        <c:lblAlgn val="ctr"/>
        <c:lblOffset val="100"/>
        <c:noMultiLvlLbl val="0"/>
      </c:catAx>
      <c:valAx>
        <c:axId val="190152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152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130175</xdr:colOff>
      <xdr:row>10</xdr:row>
      <xdr:rowOff>19049</xdr:rowOff>
    </xdr:from>
    <xdr:to>
      <xdr:col>4</xdr:col>
      <xdr:colOff>781050</xdr:colOff>
      <xdr:row>25</xdr:row>
      <xdr:rowOff>136524</xdr:rowOff>
    </xdr:to>
    <xdr:graphicFrame macro="">
      <xdr:nvGraphicFramePr>
        <xdr:cNvPr id="2" name="Chart 1">
          <a:extLst>
            <a:ext uri="{FF2B5EF4-FFF2-40B4-BE49-F238E27FC236}">
              <a16:creationId xmlns:a16="http://schemas.microsoft.com/office/drawing/2014/main" xmlns="" id="{8956548D-1CDE-4014-A002-B806BDCAF4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50800</xdr:colOff>
      <xdr:row>9</xdr:row>
      <xdr:rowOff>73025</xdr:rowOff>
    </xdr:from>
    <xdr:to>
      <xdr:col>4</xdr:col>
      <xdr:colOff>1238250</xdr:colOff>
      <xdr:row>27</xdr:row>
      <xdr:rowOff>149225</xdr:rowOff>
    </xdr:to>
    <xdr:graphicFrame macro="">
      <xdr:nvGraphicFramePr>
        <xdr:cNvPr id="2" name="Chart 1">
          <a:extLst>
            <a:ext uri="{FF2B5EF4-FFF2-40B4-BE49-F238E27FC236}">
              <a16:creationId xmlns:a16="http://schemas.microsoft.com/office/drawing/2014/main" xmlns="" id="{7BBC187F-A1A7-4196-8869-7B6961447D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1:E9" totalsRowShown="0">
  <autoFilter ref="A1:E9"/>
  <tableColumns count="5">
    <tableColumn id="1" name="Timeline"/>
    <tableColumn id="2" name="Values" dataDxfId="9"/>
    <tableColumn id="3" name="Forecast" dataDxfId="8"/>
    <tableColumn id="4" name="Lower Confidence Bound" dataDxfId="7"/>
    <tableColumn id="5" name="Upper Confidence Bound" dataDxfId="6"/>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G1:H8" totalsRowShown="0">
  <autoFilter ref="G1:H8"/>
  <tableColumns count="2">
    <tableColumn id="1" name="Statistic"/>
    <tableColumn id="2" name="Value" dataDxfId="5"/>
  </tableColumns>
  <tableStyleInfo name="TableStyleMedium9" showFirstColumn="0" showLastColumn="0" showRowStripes="1" showColumnStripes="0"/>
</table>
</file>

<file path=xl/tables/table3.xml><?xml version="1.0" encoding="utf-8"?>
<table xmlns="http://schemas.openxmlformats.org/spreadsheetml/2006/main" id="3" name="Table3" displayName="Table3" ref="A1:E9" totalsRowShown="0">
  <autoFilter ref="A1:E9"/>
  <tableColumns count="5">
    <tableColumn id="1" name="Timeline"/>
    <tableColumn id="2" name="Values" dataDxfId="4"/>
    <tableColumn id="3" name="Forecast" dataDxfId="3"/>
    <tableColumn id="4" name="Lower Confidence Bound" dataDxfId="2"/>
    <tableColumn id="5" name="Upper Confidence Bound" dataDxfId="1"/>
  </tableColumns>
  <tableStyleInfo name="TableStyleMedium9" showFirstColumn="0" showLastColumn="0" showRowStripes="1" showColumnStripes="0"/>
</table>
</file>

<file path=xl/tables/table4.xml><?xml version="1.0" encoding="utf-8"?>
<table xmlns="http://schemas.openxmlformats.org/spreadsheetml/2006/main" id="4" name="Table4" displayName="Table4" ref="G1:H8" totalsRowShown="0">
  <autoFilter ref="G1:H8"/>
  <tableColumns count="2">
    <tableColumn id="1" name="Statistic"/>
    <tableColumn id="2" name="Valu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lawyer24h.net/cost-open-close-representative-office-hcmc/"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caicachhanhchinh.gov.vn/Plus.aspx/vi/News/114/0/1010053/0/4409/" TargetMode="External"/><Relationship Id="rId3" Type="http://schemas.openxmlformats.org/officeDocument/2006/relationships/hyperlink" Target="http://www.caicachhanhchinh.gov.vn/Plus.aspx/vi/News/114/0/1010053/0/4425/" TargetMode="External"/><Relationship Id="rId7" Type="http://schemas.openxmlformats.org/officeDocument/2006/relationships/hyperlink" Target="http://www.caicachhanhchinh.gov.vn/Plus.aspx/vi/News/114/0/1010053/0/4441/" TargetMode="External"/><Relationship Id="rId12" Type="http://schemas.openxmlformats.org/officeDocument/2006/relationships/comments" Target="../comments1.xml"/><Relationship Id="rId2" Type="http://schemas.openxmlformats.org/officeDocument/2006/relationships/hyperlink" Target="http://www.caicachhanhchinh.gov.vn/Plus.aspx/vi/News/114/0/1010053/0/4423/" TargetMode="External"/><Relationship Id="rId1" Type="http://schemas.openxmlformats.org/officeDocument/2006/relationships/hyperlink" Target="http://www.caicachhanhchinh.gov.vn/Plus.aspx/vi/News/114/0/1010053/0/4454/" TargetMode="External"/><Relationship Id="rId6" Type="http://schemas.openxmlformats.org/officeDocument/2006/relationships/hyperlink" Target="http://www.caicachhanhchinh.gov.vn/Plus.aspx/vi/News/114/0/1010053/0/4397/" TargetMode="External"/><Relationship Id="rId11" Type="http://schemas.openxmlformats.org/officeDocument/2006/relationships/vmlDrawing" Target="../drawings/vmlDrawing1.vml"/><Relationship Id="rId5" Type="http://schemas.openxmlformats.org/officeDocument/2006/relationships/hyperlink" Target="http://www.caicachhanhchinh.gov.vn/Plus.aspx/vi/News/114/0/1010053/0/4438/" TargetMode="External"/><Relationship Id="rId10" Type="http://schemas.openxmlformats.org/officeDocument/2006/relationships/printerSettings" Target="../printerSettings/printerSettings7.bin"/><Relationship Id="rId4" Type="http://schemas.openxmlformats.org/officeDocument/2006/relationships/hyperlink" Target="http://www.caicachhanhchinh.gov.vn/Plus.aspx/vi/News/114/0/1010053/0/4433/" TargetMode="External"/><Relationship Id="rId9" Type="http://schemas.openxmlformats.org/officeDocument/2006/relationships/hyperlink" Target="http://www.caicachhanhchinh.gov.vn/Plus.aspx/vi/News/114/0/1010053/0/4452/"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O49"/>
  <sheetViews>
    <sheetView workbookViewId="0">
      <pane xSplit="1" ySplit="3" topLeftCell="G31" activePane="bottomRight" state="frozen"/>
      <selection pane="topRight" activeCell="B1" sqref="B1"/>
      <selection pane="bottomLeft" activeCell="A4" sqref="A4"/>
      <selection pane="bottomRight" activeCell="A10" sqref="A10"/>
    </sheetView>
  </sheetViews>
  <sheetFormatPr defaultRowHeight="12.75" x14ac:dyDescent="0.2"/>
  <cols>
    <col min="1" max="1" width="27.7109375" customWidth="1"/>
    <col min="6" max="6" width="19.5703125" customWidth="1"/>
    <col min="8" max="8" width="19.5703125" bestFit="1" customWidth="1"/>
    <col min="9" max="9" width="14.7109375" customWidth="1"/>
    <col min="10" max="10" width="22.28515625" customWidth="1"/>
    <col min="11" max="11" width="9.5703125" customWidth="1"/>
    <col min="12" max="12" width="13" customWidth="1"/>
    <col min="13" max="14" width="13.28515625" customWidth="1"/>
    <col min="15" max="15" width="27.5703125" customWidth="1"/>
  </cols>
  <sheetData>
    <row r="3" spans="1:15" ht="25.5" x14ac:dyDescent="0.2">
      <c r="C3" s="387" t="s">
        <v>86</v>
      </c>
      <c r="D3" s="387"/>
      <c r="E3" s="387"/>
      <c r="F3" s="387" t="s">
        <v>87</v>
      </c>
      <c r="G3" s="387"/>
      <c r="H3" s="387"/>
      <c r="I3" s="387" t="s">
        <v>88</v>
      </c>
      <c r="J3" s="387"/>
      <c r="K3" s="387"/>
      <c r="L3" s="387"/>
      <c r="M3" s="2" t="s">
        <v>89</v>
      </c>
      <c r="O3" s="3" t="s">
        <v>90</v>
      </c>
    </row>
    <row r="4" spans="1:15" ht="26.25" customHeight="1" x14ac:dyDescent="0.2">
      <c r="C4" s="1" t="s">
        <v>74</v>
      </c>
      <c r="D4" s="1" t="s">
        <v>75</v>
      </c>
      <c r="E4" s="1" t="s">
        <v>76</v>
      </c>
      <c r="F4" s="1" t="s">
        <v>77</v>
      </c>
      <c r="G4" s="1" t="s">
        <v>78</v>
      </c>
      <c r="H4" s="1" t="s">
        <v>79</v>
      </c>
      <c r="I4" s="1" t="s">
        <v>80</v>
      </c>
      <c r="J4" s="1" t="s">
        <v>81</v>
      </c>
      <c r="K4" s="1" t="s">
        <v>82</v>
      </c>
      <c r="L4" s="1" t="s">
        <v>83</v>
      </c>
      <c r="M4" s="1" t="s">
        <v>84</v>
      </c>
      <c r="N4" s="1" t="s">
        <v>85</v>
      </c>
    </row>
    <row r="5" spans="1:15" ht="63" x14ac:dyDescent="0.25">
      <c r="A5" s="4" t="s">
        <v>42</v>
      </c>
    </row>
    <row r="6" spans="1:15" x14ac:dyDescent="0.2">
      <c r="A6" t="s">
        <v>211</v>
      </c>
    </row>
    <row r="7" spans="1:15" ht="63.75" x14ac:dyDescent="0.2">
      <c r="A7" s="1" t="s">
        <v>43</v>
      </c>
    </row>
    <row r="8" spans="1:15" ht="38.25" x14ac:dyDescent="0.2">
      <c r="A8" s="1" t="s">
        <v>44</v>
      </c>
    </row>
    <row r="9" spans="1:15" ht="38.25" x14ac:dyDescent="0.2">
      <c r="A9" s="1" t="s">
        <v>45</v>
      </c>
    </row>
    <row r="10" spans="1:15" ht="47.25" x14ac:dyDescent="0.25">
      <c r="A10" s="4" t="s">
        <v>46</v>
      </c>
    </row>
    <row r="11" spans="1:15" ht="25.5" x14ac:dyDescent="0.2">
      <c r="A11" s="1" t="s">
        <v>47</v>
      </c>
    </row>
    <row r="12" spans="1:15" ht="25.5" x14ac:dyDescent="0.2">
      <c r="A12" s="1" t="s">
        <v>48</v>
      </c>
    </row>
    <row r="13" spans="1:15" ht="38.25" x14ac:dyDescent="0.2">
      <c r="A13" s="1" t="s">
        <v>49</v>
      </c>
    </row>
    <row r="14" spans="1:15" ht="25.5" x14ac:dyDescent="0.2">
      <c r="A14" s="1" t="s">
        <v>50</v>
      </c>
    </row>
    <row r="15" spans="1:15" ht="79.5" customHeight="1" x14ac:dyDescent="0.25">
      <c r="A15" s="10" t="s">
        <v>51</v>
      </c>
    </row>
    <row r="16" spans="1:15" x14ac:dyDescent="0.2">
      <c r="A16" s="1" t="s">
        <v>206</v>
      </c>
    </row>
    <row r="17" spans="1:1" x14ac:dyDescent="0.2">
      <c r="A17" s="1" t="s">
        <v>52</v>
      </c>
    </row>
    <row r="18" spans="1:1" x14ac:dyDescent="0.2">
      <c r="A18" s="1" t="s">
        <v>53</v>
      </c>
    </row>
    <row r="19" spans="1:1" x14ac:dyDescent="0.2">
      <c r="A19" s="1" t="s">
        <v>54</v>
      </c>
    </row>
    <row r="20" spans="1:1" x14ac:dyDescent="0.2">
      <c r="A20" s="1" t="s">
        <v>55</v>
      </c>
    </row>
    <row r="21" spans="1:1" x14ac:dyDescent="0.2">
      <c r="A21" s="1" t="s">
        <v>56</v>
      </c>
    </row>
    <row r="22" spans="1:1" ht="31.5" x14ac:dyDescent="0.25">
      <c r="A22" s="10" t="s">
        <v>57</v>
      </c>
    </row>
    <row r="23" spans="1:1" x14ac:dyDescent="0.2">
      <c r="A23" s="1" t="s">
        <v>211</v>
      </c>
    </row>
    <row r="24" spans="1:1" ht="178.5" x14ac:dyDescent="0.2">
      <c r="A24" s="1" t="s">
        <v>58</v>
      </c>
    </row>
    <row r="25" spans="1:1" ht="38.25" x14ac:dyDescent="0.2">
      <c r="A25" s="1" t="s">
        <v>59</v>
      </c>
    </row>
    <row r="26" spans="1:1" ht="51" x14ac:dyDescent="0.2">
      <c r="A26" s="1" t="s">
        <v>60</v>
      </c>
    </row>
    <row r="27" spans="1:1" ht="47.25" x14ac:dyDescent="0.25">
      <c r="A27" s="4" t="s">
        <v>61</v>
      </c>
    </row>
    <row r="28" spans="1:1" ht="25.5" x14ac:dyDescent="0.2">
      <c r="A28" s="1" t="s">
        <v>62</v>
      </c>
    </row>
    <row r="29" spans="1:1" ht="51" x14ac:dyDescent="0.2">
      <c r="A29" s="1" t="s">
        <v>63</v>
      </c>
    </row>
    <row r="30" spans="1:1" x14ac:dyDescent="0.2">
      <c r="A30" s="1" t="s">
        <v>203</v>
      </c>
    </row>
    <row r="31" spans="1:1" ht="15.75" x14ac:dyDescent="0.25">
      <c r="A31" s="11" t="s">
        <v>64</v>
      </c>
    </row>
    <row r="32" spans="1:1" ht="15.75" x14ac:dyDescent="0.25">
      <c r="A32" s="4"/>
    </row>
    <row r="33" spans="1:1" ht="15.75" x14ac:dyDescent="0.25">
      <c r="A33" s="4"/>
    </row>
    <row r="34" spans="1:1" ht="47.25" customHeight="1" x14ac:dyDescent="0.25">
      <c r="A34" s="4" t="s">
        <v>65</v>
      </c>
    </row>
    <row r="35" spans="1:1" x14ac:dyDescent="0.2">
      <c r="A35" s="1" t="s">
        <v>211</v>
      </c>
    </row>
    <row r="36" spans="1:1" ht="25.5" x14ac:dyDescent="0.2">
      <c r="A36" s="1" t="s">
        <v>66</v>
      </c>
    </row>
    <row r="37" spans="1:1" ht="25.5" x14ac:dyDescent="0.2">
      <c r="A37" s="1" t="s">
        <v>67</v>
      </c>
    </row>
    <row r="38" spans="1:1" x14ac:dyDescent="0.2">
      <c r="A38" s="1"/>
    </row>
    <row r="39" spans="1:1" ht="47.25" x14ac:dyDescent="0.25">
      <c r="A39" s="4" t="s">
        <v>68</v>
      </c>
    </row>
    <row r="40" spans="1:1" x14ac:dyDescent="0.2">
      <c r="A40" s="1" t="s">
        <v>211</v>
      </c>
    </row>
    <row r="41" spans="1:1" ht="25.5" x14ac:dyDescent="0.2">
      <c r="A41" s="1" t="s">
        <v>69</v>
      </c>
    </row>
    <row r="43" spans="1:1" ht="31.5" x14ac:dyDescent="0.25">
      <c r="A43" s="4" t="s">
        <v>70</v>
      </c>
    </row>
    <row r="44" spans="1:1" x14ac:dyDescent="0.2">
      <c r="A44" s="1" t="s">
        <v>211</v>
      </c>
    </row>
    <row r="45" spans="1:1" ht="25.5" x14ac:dyDescent="0.2">
      <c r="A45" s="1" t="s">
        <v>71</v>
      </c>
    </row>
    <row r="46" spans="1:1" ht="25.5" x14ac:dyDescent="0.2">
      <c r="A46" s="1" t="s">
        <v>72</v>
      </c>
    </row>
    <row r="47" spans="1:1" x14ac:dyDescent="0.2">
      <c r="A47" s="1"/>
    </row>
    <row r="48" spans="1:1" x14ac:dyDescent="0.2">
      <c r="A48" s="1"/>
    </row>
    <row r="49" spans="1:1" ht="25.5" x14ac:dyDescent="0.2">
      <c r="A49" s="1" t="s">
        <v>73</v>
      </c>
    </row>
  </sheetData>
  <mergeCells count="3">
    <mergeCell ref="C3:E3"/>
    <mergeCell ref="F3:H3"/>
    <mergeCell ref="I3:L3"/>
  </mergeCells>
  <phoneticPr fontId="1" type="noConversion"/>
  <pageMargins left="0.75" right="0.75" top="1" bottom="1" header="0.5" footer="0.5"/>
  <pageSetup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G100"/>
  <sheetViews>
    <sheetView zoomScale="85" zoomScaleNormal="85" workbookViewId="0">
      <selection activeCell="E37" sqref="E37"/>
    </sheetView>
  </sheetViews>
  <sheetFormatPr defaultColWidth="9.28515625" defaultRowHeight="15" x14ac:dyDescent="0.25"/>
  <cols>
    <col min="1" max="1" width="12.42578125" style="179" bestFit="1" customWidth="1"/>
    <col min="2" max="2" width="6.28515625" style="173" customWidth="1"/>
    <col min="3" max="3" width="75.28515625" style="173" customWidth="1"/>
    <col min="4" max="4" width="12.28515625" style="174" bestFit="1" customWidth="1"/>
    <col min="5" max="5" width="30.5703125" style="173" customWidth="1"/>
    <col min="6" max="6" width="73.28515625" style="175" bestFit="1" customWidth="1"/>
    <col min="7" max="7" width="23.28515625" style="173" bestFit="1" customWidth="1"/>
    <col min="8" max="8" width="9.5703125" style="173" bestFit="1" customWidth="1"/>
    <col min="9" max="16384" width="9.28515625" style="173"/>
  </cols>
  <sheetData>
    <row r="1" spans="1:7" s="175" customFormat="1" ht="22.5" customHeight="1" x14ac:dyDescent="0.25">
      <c r="A1" s="193" t="s">
        <v>122</v>
      </c>
      <c r="B1" s="199"/>
      <c r="C1" s="193" t="s">
        <v>341</v>
      </c>
      <c r="D1" s="193" t="s">
        <v>245</v>
      </c>
      <c r="E1" s="206" t="s">
        <v>239</v>
      </c>
      <c r="F1" s="194" t="s">
        <v>343</v>
      </c>
    </row>
    <row r="2" spans="1:7" s="175" customFormat="1" ht="56.25" customHeight="1" x14ac:dyDescent="0.25">
      <c r="A2" s="194" t="s">
        <v>254</v>
      </c>
      <c r="B2" s="402" t="s">
        <v>10</v>
      </c>
      <c r="C2" s="402"/>
      <c r="D2" s="207" t="s">
        <v>92</v>
      </c>
      <c r="E2" s="208" t="e">
        <f>E9+E21+E33</f>
        <v>#REF!</v>
      </c>
      <c r="F2" s="189"/>
      <c r="G2" s="177" t="s">
        <v>253</v>
      </c>
    </row>
    <row r="3" spans="1:7" s="176" customFormat="1" ht="22.5" customHeight="1" x14ac:dyDescent="0.25">
      <c r="A3" s="194" t="s">
        <v>254</v>
      </c>
      <c r="B3" s="403" t="s">
        <v>7</v>
      </c>
      <c r="C3" s="403"/>
      <c r="D3" s="195"/>
      <c r="E3" s="209" t="e">
        <f>E9+E21+E33</f>
        <v>#REF!</v>
      </c>
      <c r="F3" s="210"/>
      <c r="G3" s="175"/>
    </row>
    <row r="4" spans="1:7" s="176" customFormat="1" ht="22.5" customHeight="1" x14ac:dyDescent="0.25">
      <c r="A4" s="194"/>
      <c r="B4" s="401" t="s">
        <v>342</v>
      </c>
      <c r="C4" s="401"/>
      <c r="D4" s="195"/>
      <c r="E4" s="210"/>
      <c r="F4" s="210"/>
      <c r="G4" s="175"/>
    </row>
    <row r="5" spans="1:7" s="176" customFormat="1" ht="22.5" customHeight="1" x14ac:dyDescent="0.25">
      <c r="A5" s="194"/>
      <c r="B5" s="200"/>
      <c r="C5" s="181" t="s">
        <v>266</v>
      </c>
      <c r="D5" s="180" t="s">
        <v>92</v>
      </c>
      <c r="E5" s="182">
        <f>6382000/2/8/22</f>
        <v>18130.68181818182</v>
      </c>
      <c r="F5" s="210"/>
      <c r="G5" s="175"/>
    </row>
    <row r="6" spans="1:7" s="176" customFormat="1" ht="22.5" customHeight="1" x14ac:dyDescent="0.25">
      <c r="A6" s="194"/>
      <c r="B6" s="198"/>
      <c r="C6" s="200" t="s">
        <v>292</v>
      </c>
      <c r="D6" s="187" t="s">
        <v>257</v>
      </c>
      <c r="E6" s="229">
        <v>120</v>
      </c>
      <c r="F6" s="189"/>
    </row>
    <row r="7" spans="1:7" s="176" customFormat="1" ht="22.5" customHeight="1" x14ac:dyDescent="0.25">
      <c r="A7" s="194"/>
      <c r="B7" s="198"/>
      <c r="C7" s="200" t="s">
        <v>293</v>
      </c>
      <c r="D7" s="187" t="s">
        <v>257</v>
      </c>
      <c r="E7" s="229">
        <f>E6/5</f>
        <v>24</v>
      </c>
      <c r="F7" s="189"/>
    </row>
    <row r="8" spans="1:7" s="176" customFormat="1" ht="22.5" customHeight="1" x14ac:dyDescent="0.25">
      <c r="A8" s="194"/>
      <c r="B8" s="198"/>
      <c r="C8" s="200" t="s">
        <v>291</v>
      </c>
      <c r="D8" s="187" t="s">
        <v>257</v>
      </c>
      <c r="E8" s="229">
        <v>3</v>
      </c>
      <c r="F8" s="189"/>
    </row>
    <row r="9" spans="1:7" s="176" customFormat="1" ht="22.5" customHeight="1" x14ac:dyDescent="0.25">
      <c r="A9" s="194" t="s">
        <v>254</v>
      </c>
      <c r="B9" s="198"/>
      <c r="C9" s="211" t="s">
        <v>261</v>
      </c>
      <c r="D9" s="212" t="s">
        <v>92</v>
      </c>
      <c r="E9" s="213" t="e">
        <f>SUM(E10:E20)</f>
        <v>#REF!</v>
      </c>
      <c r="F9" s="210"/>
    </row>
    <row r="10" spans="1:7" s="176" customFormat="1" ht="27.75" customHeight="1" x14ac:dyDescent="0.25">
      <c r="A10" s="194"/>
      <c r="B10" s="198"/>
      <c r="C10" s="200" t="s">
        <v>265</v>
      </c>
      <c r="D10" s="187" t="s">
        <v>92</v>
      </c>
      <c r="E10" s="191" t="e">
        <f xml:space="preserve"> 2 * 30 * 8 * E6 *'PL1-Dữ liệu'!#REF!</f>
        <v>#REF!</v>
      </c>
      <c r="F10" s="189" t="s">
        <v>273</v>
      </c>
    </row>
    <row r="11" spans="1:7" s="176" customFormat="1" ht="31.5" x14ac:dyDescent="0.25">
      <c r="A11" s="194"/>
      <c r="B11" s="198"/>
      <c r="C11" s="200" t="s">
        <v>274</v>
      </c>
      <c r="D11" s="187" t="s">
        <v>92</v>
      </c>
      <c r="E11" s="191" t="e">
        <f xml:space="preserve"> 2 * 3 * 8 * E6 * 90% *'PL1-Dữ liệu'!#REF!</f>
        <v>#REF!</v>
      </c>
      <c r="F11" s="188" t="s">
        <v>284</v>
      </c>
    </row>
    <row r="12" spans="1:7" s="176" customFormat="1" ht="23.25" customHeight="1" x14ac:dyDescent="0.25">
      <c r="A12" s="194"/>
      <c r="B12" s="198"/>
      <c r="C12" s="200" t="s">
        <v>279</v>
      </c>
      <c r="D12" s="187" t="s">
        <v>92</v>
      </c>
      <c r="E12" s="191" t="e">
        <f>50*5*4*'PL1-Dữ liệu'!#REF!</f>
        <v>#REF!</v>
      </c>
      <c r="F12" s="189" t="s">
        <v>286</v>
      </c>
    </row>
    <row r="13" spans="1:7" s="176" customFormat="1" ht="31.5" x14ac:dyDescent="0.25">
      <c r="A13" s="194"/>
      <c r="B13" s="198"/>
      <c r="C13" s="200" t="s">
        <v>275</v>
      </c>
      <c r="D13" s="187" t="s">
        <v>92</v>
      </c>
      <c r="E13" s="191" t="e">
        <f xml:space="preserve"> 2*2*8*E6*10%*'PL1-Dữ liệu'!#REF!</f>
        <v>#REF!</v>
      </c>
      <c r="F13" s="188" t="s">
        <v>281</v>
      </c>
    </row>
    <row r="14" spans="1:7" s="176" customFormat="1" ht="24" customHeight="1" x14ac:dyDescent="0.25">
      <c r="A14" s="194"/>
      <c r="B14" s="198"/>
      <c r="C14" s="200" t="s">
        <v>282</v>
      </c>
      <c r="D14" s="187" t="s">
        <v>92</v>
      </c>
      <c r="E14" s="191" t="e">
        <f>20*3*4*'PL1-Dữ liệu'!#REF!</f>
        <v>#REF!</v>
      </c>
      <c r="F14" s="189" t="s">
        <v>285</v>
      </c>
    </row>
    <row r="15" spans="1:7" s="176" customFormat="1" ht="22.5" customHeight="1" x14ac:dyDescent="0.25">
      <c r="A15" s="194"/>
      <c r="B15" s="198"/>
      <c r="C15" s="200" t="s">
        <v>258</v>
      </c>
      <c r="D15" s="187" t="s">
        <v>92</v>
      </c>
      <c r="E15" s="191" t="e">
        <f xml:space="preserve"> (4 * 30 + 5 * 16) * 'PL1-Dữ liệu'!#REF!</f>
        <v>#REF!</v>
      </c>
      <c r="F15" s="189" t="s">
        <v>278</v>
      </c>
    </row>
    <row r="16" spans="1:7" s="176" customFormat="1" ht="22.5" customHeight="1" x14ac:dyDescent="0.25">
      <c r="A16" s="194"/>
      <c r="B16" s="198"/>
      <c r="C16" s="200" t="s">
        <v>259</v>
      </c>
      <c r="D16" s="187" t="s">
        <v>92</v>
      </c>
      <c r="E16" s="191" t="e">
        <f>(4*100 + 3*3*8)*'PL1-Dữ liệu'!#REF!</f>
        <v>#REF!</v>
      </c>
      <c r="F16" s="189" t="s">
        <v>287</v>
      </c>
    </row>
    <row r="17" spans="1:6" s="176" customFormat="1" ht="22.5" customHeight="1" x14ac:dyDescent="0.25">
      <c r="A17" s="194"/>
      <c r="B17" s="198"/>
      <c r="C17" s="200" t="s">
        <v>260</v>
      </c>
      <c r="D17" s="187" t="s">
        <v>92</v>
      </c>
      <c r="E17" s="191" t="e">
        <f xml:space="preserve"> 2 * 5 * 8 * 'PL1-Dữ liệu'!#REF!</f>
        <v>#REF!</v>
      </c>
      <c r="F17" s="189" t="s">
        <v>267</v>
      </c>
    </row>
    <row r="18" spans="1:6" s="176" customFormat="1" ht="22.5" customHeight="1" x14ac:dyDescent="0.25">
      <c r="A18" s="194"/>
      <c r="B18" s="198"/>
      <c r="C18" s="200" t="s">
        <v>262</v>
      </c>
      <c r="D18" s="187" t="s">
        <v>92</v>
      </c>
      <c r="E18" s="191" t="e">
        <f xml:space="preserve"> 500 * (3  + 4 + 8) *'PL1-Dữ liệu'!#REF!</f>
        <v>#REF!</v>
      </c>
      <c r="F18" s="189" t="s">
        <v>288</v>
      </c>
    </row>
    <row r="19" spans="1:6" s="176" customFormat="1" ht="22.5" customHeight="1" x14ac:dyDescent="0.25">
      <c r="A19" s="194"/>
      <c r="B19" s="198"/>
      <c r="C19" s="200" t="s">
        <v>263</v>
      </c>
      <c r="D19" s="187" t="s">
        <v>92</v>
      </c>
      <c r="E19" s="191" t="e">
        <f xml:space="preserve"> 4 * 3 * 8 *'PL1-Dữ liệu'!#REF!</f>
        <v>#REF!</v>
      </c>
      <c r="F19" s="189" t="s">
        <v>269</v>
      </c>
    </row>
    <row r="20" spans="1:6" s="176" customFormat="1" ht="22.5" customHeight="1" x14ac:dyDescent="0.25">
      <c r="A20" s="194"/>
      <c r="B20" s="198"/>
      <c r="C20" s="200" t="s">
        <v>264</v>
      </c>
      <c r="D20" s="187" t="s">
        <v>92</v>
      </c>
      <c r="E20" s="191" t="e">
        <f xml:space="preserve"> (1+ 2) * 500 * 'PL1-Dữ liệu'!#REF!</f>
        <v>#REF!</v>
      </c>
      <c r="F20" s="189" t="s">
        <v>289</v>
      </c>
    </row>
    <row r="21" spans="1:6" s="176" customFormat="1" ht="22.5" customHeight="1" x14ac:dyDescent="0.25">
      <c r="A21" s="194" t="s">
        <v>254</v>
      </c>
      <c r="B21" s="198"/>
      <c r="C21" s="211" t="s">
        <v>272</v>
      </c>
      <c r="D21" s="212" t="s">
        <v>92</v>
      </c>
      <c r="E21" s="213" t="e">
        <f>SUM(E22:E32)</f>
        <v>#REF!</v>
      </c>
      <c r="F21" s="210"/>
    </row>
    <row r="22" spans="1:6" s="176" customFormat="1" ht="33" customHeight="1" x14ac:dyDescent="0.25">
      <c r="A22" s="194"/>
      <c r="B22" s="198"/>
      <c r="C22" s="200" t="s">
        <v>290</v>
      </c>
      <c r="D22" s="187" t="s">
        <v>92</v>
      </c>
      <c r="E22" s="191" t="e">
        <f xml:space="preserve"> 2*30*8*'PL1-Dữ liệu'!#REF!*E8</f>
        <v>#REF!</v>
      </c>
      <c r="F22" s="189" t="s">
        <v>296</v>
      </c>
    </row>
    <row r="23" spans="1:6" s="176" customFormat="1" ht="31.5" x14ac:dyDescent="0.25">
      <c r="A23" s="194"/>
      <c r="B23" s="198"/>
      <c r="C23" s="200" t="s">
        <v>276</v>
      </c>
      <c r="D23" s="187" t="s">
        <v>92</v>
      </c>
      <c r="E23" s="191" t="e">
        <f xml:space="preserve"> 2 *3* 8* E8 * 'PL1-Dữ liệu'!#REF! + 2*20*8*'PL1-Dữ liệu'!#REF!</f>
        <v>#REF!</v>
      </c>
      <c r="F23" s="188" t="s">
        <v>294</v>
      </c>
    </row>
    <row r="24" spans="1:6" s="176" customFormat="1" ht="29.25" customHeight="1" x14ac:dyDescent="0.25">
      <c r="A24" s="194"/>
      <c r="B24" s="198"/>
      <c r="C24" s="200" t="s">
        <v>279</v>
      </c>
      <c r="D24" s="187" t="s">
        <v>92</v>
      </c>
      <c r="E24" s="191" t="e">
        <f>50*5*4*'PL1-Dữ liệu'!#REF!</f>
        <v>#REF!</v>
      </c>
      <c r="F24" s="189" t="s">
        <v>280</v>
      </c>
    </row>
    <row r="25" spans="1:6" s="176" customFormat="1" ht="31.5" x14ac:dyDescent="0.25">
      <c r="A25" s="194"/>
      <c r="B25" s="198"/>
      <c r="C25" s="200" t="s">
        <v>277</v>
      </c>
      <c r="D25" s="187" t="s">
        <v>92</v>
      </c>
      <c r="E25" s="191" t="e">
        <f>2*5*8*'PL1-Dữ liệu'!#REF!</f>
        <v>#REF!</v>
      </c>
      <c r="F25" s="188" t="s">
        <v>295</v>
      </c>
    </row>
    <row r="26" spans="1:6" s="176" customFormat="1" ht="21.75" customHeight="1" x14ac:dyDescent="0.25">
      <c r="A26" s="194"/>
      <c r="B26" s="198"/>
      <c r="C26" s="200" t="s">
        <v>282</v>
      </c>
      <c r="D26" s="187" t="s">
        <v>92</v>
      </c>
      <c r="E26" s="191" t="e">
        <f xml:space="preserve"> (20*3*4+2*5*8)*'PL1-Dữ liệu'!#REF!</f>
        <v>#REF!</v>
      </c>
      <c r="F26" s="189" t="s">
        <v>283</v>
      </c>
    </row>
    <row r="27" spans="1:6" s="176" customFormat="1" ht="22.5" customHeight="1" x14ac:dyDescent="0.25">
      <c r="A27" s="194"/>
      <c r="B27" s="198"/>
      <c r="C27" s="200" t="s">
        <v>258</v>
      </c>
      <c r="D27" s="187" t="s">
        <v>92</v>
      </c>
      <c r="E27" s="191" t="e">
        <f xml:space="preserve"> (4*50 + 2 *16) * 'PL1-Dữ liệu'!#REF!</f>
        <v>#REF!</v>
      </c>
      <c r="F27" s="189" t="s">
        <v>268</v>
      </c>
    </row>
    <row r="28" spans="1:6" s="176" customFormat="1" ht="22.5" customHeight="1" x14ac:dyDescent="0.25">
      <c r="A28" s="194"/>
      <c r="B28" s="198"/>
      <c r="C28" s="200" t="s">
        <v>259</v>
      </c>
      <c r="D28" s="187" t="s">
        <v>92</v>
      </c>
      <c r="E28" s="191" t="e">
        <f xml:space="preserve"> (4*50 + 2 * 16) *'PL1-Dữ liệu'!#REF!</f>
        <v>#REF!</v>
      </c>
      <c r="F28" s="189" t="s">
        <v>268</v>
      </c>
    </row>
    <row r="29" spans="1:6" s="176" customFormat="1" ht="22.5" customHeight="1" x14ac:dyDescent="0.25">
      <c r="A29" s="194"/>
      <c r="B29" s="198"/>
      <c r="C29" s="200" t="s">
        <v>260</v>
      </c>
      <c r="D29" s="187" t="s">
        <v>92</v>
      </c>
      <c r="E29" s="191" t="e">
        <f xml:space="preserve"> 2 * 5 * 8 *'PL1-Dữ liệu'!#REF!</f>
        <v>#REF!</v>
      </c>
      <c r="F29" s="189" t="s">
        <v>267</v>
      </c>
    </row>
    <row r="30" spans="1:6" s="176" customFormat="1" ht="22.5" customHeight="1" x14ac:dyDescent="0.25">
      <c r="A30" s="194"/>
      <c r="B30" s="198"/>
      <c r="C30" s="200" t="s">
        <v>262</v>
      </c>
      <c r="D30" s="187" t="s">
        <v>92</v>
      </c>
      <c r="E30" s="191" t="e">
        <f xml:space="preserve"> (3 * 500 + 8 *500) * 'PL1-Dữ liệu'!#REF!</f>
        <v>#REF!</v>
      </c>
      <c r="F30" s="189" t="s">
        <v>270</v>
      </c>
    </row>
    <row r="31" spans="1:6" s="176" customFormat="1" ht="22.5" customHeight="1" x14ac:dyDescent="0.25">
      <c r="A31" s="194"/>
      <c r="B31" s="198"/>
      <c r="C31" s="200" t="s">
        <v>263</v>
      </c>
      <c r="D31" s="187" t="s">
        <v>92</v>
      </c>
      <c r="E31" s="191" t="e">
        <f xml:space="preserve"> 4 * 3 * 8 * 'PL1-Dữ liệu'!#REF!</f>
        <v>#REF!</v>
      </c>
      <c r="F31" s="189" t="s">
        <v>269</v>
      </c>
    </row>
    <row r="32" spans="1:6" s="176" customFormat="1" ht="22.5" customHeight="1" x14ac:dyDescent="0.25">
      <c r="A32" s="194"/>
      <c r="B32" s="198"/>
      <c r="C32" s="200" t="s">
        <v>264</v>
      </c>
      <c r="D32" s="187" t="s">
        <v>92</v>
      </c>
      <c r="E32" s="191" t="e">
        <f xml:space="preserve"> (1 * 500 + 2 * 500) * 'PL1-Dữ liệu'!#REF!</f>
        <v>#REF!</v>
      </c>
      <c r="F32" s="189" t="s">
        <v>271</v>
      </c>
    </row>
    <row r="33" spans="1:7" s="176" customFormat="1" ht="22.5" customHeight="1" x14ac:dyDescent="0.25">
      <c r="A33" s="194" t="s">
        <v>254</v>
      </c>
      <c r="B33" s="196"/>
      <c r="C33" s="211" t="s">
        <v>252</v>
      </c>
      <c r="D33" s="212" t="s">
        <v>92</v>
      </c>
      <c r="E33" s="213" t="e">
        <f>SUM(E34:E46)</f>
        <v>#REF!</v>
      </c>
      <c r="F33" s="214"/>
    </row>
    <row r="34" spans="1:7" s="176" customFormat="1" ht="22.5" customHeight="1" x14ac:dyDescent="0.25">
      <c r="A34" s="194"/>
      <c r="B34" s="196"/>
      <c r="C34" s="184" t="s">
        <v>247</v>
      </c>
      <c r="D34" s="187" t="s">
        <v>92</v>
      </c>
      <c r="E34" s="191" t="e">
        <f>'PL1-Dữ liệu'!#REF!*('PL1-Dữ liệu'!#REF!*'PL1-Dữ liệu'!#REF!+'PL1-Dữ liệu'!#REF!)</f>
        <v>#REF!</v>
      </c>
      <c r="F34" s="210"/>
    </row>
    <row r="35" spans="1:7" s="176" customFormat="1" ht="22.5" customHeight="1" x14ac:dyDescent="0.25">
      <c r="A35" s="194"/>
      <c r="B35" s="196"/>
      <c r="C35" s="184" t="s">
        <v>246</v>
      </c>
      <c r="D35" s="187" t="s">
        <v>92</v>
      </c>
      <c r="E35" s="191" t="e">
        <f>'PL1-Dữ liệu'!#REF!*('PL1-Dữ liệu'!#REF!*'PL1-Dữ liệu'!#REF!+'PL1-Dữ liệu'!#REF!)</f>
        <v>#REF!</v>
      </c>
      <c r="F35" s="210"/>
    </row>
    <row r="36" spans="1:7" s="176" customFormat="1" ht="31.5" x14ac:dyDescent="0.25">
      <c r="A36" s="194"/>
      <c r="B36" s="196"/>
      <c r="C36" s="184" t="s">
        <v>241</v>
      </c>
      <c r="D36" s="187" t="s">
        <v>92</v>
      </c>
      <c r="E36" s="191" t="e">
        <f>'PL1-Dữ liệu'!#REF!*('PL1-Dữ liệu'!#REF!*'PL1-Dữ liệu'!#REF!+'PL1-Dữ liệu'!#REF!)</f>
        <v>#REF!</v>
      </c>
      <c r="F36" s="210"/>
    </row>
    <row r="37" spans="1:7" s="176" customFormat="1" ht="22.5" customHeight="1" x14ac:dyDescent="0.25">
      <c r="A37" s="194"/>
      <c r="B37" s="196"/>
      <c r="C37" s="184" t="s">
        <v>242</v>
      </c>
      <c r="D37" s="187" t="s">
        <v>92</v>
      </c>
      <c r="E37" s="191" t="e">
        <f>'PL1-Dữ liệu'!#REF!*('PL1-Dữ liệu'!#REF!*'PL1-Dữ liệu'!#REF!+'PL1-Dữ liệu'!#REF!)</f>
        <v>#REF!</v>
      </c>
      <c r="F37" s="210"/>
    </row>
    <row r="38" spans="1:7" s="176" customFormat="1" ht="31.5" x14ac:dyDescent="0.25">
      <c r="A38" s="194"/>
      <c r="B38" s="196"/>
      <c r="C38" s="184" t="s">
        <v>249</v>
      </c>
      <c r="D38" s="187" t="s">
        <v>92</v>
      </c>
      <c r="E38" s="191" t="e">
        <f>'PL1-Dữ liệu'!#REF!*('PL1-Dữ liệu'!#REF!*'PL1-Dữ liệu'!#REF!+'PL1-Dữ liệu'!#REF!)</f>
        <v>#REF!</v>
      </c>
      <c r="F38" s="210"/>
    </row>
    <row r="39" spans="1:7" s="176" customFormat="1" ht="22.5" customHeight="1" x14ac:dyDescent="0.25">
      <c r="A39" s="194"/>
      <c r="B39" s="196"/>
      <c r="C39" s="184" t="s">
        <v>15</v>
      </c>
      <c r="D39" s="187" t="s">
        <v>92</v>
      </c>
      <c r="E39" s="191" t="e">
        <f>'PL1-Dữ liệu'!#REF!*('PL1-Dữ liệu'!#REF!+'PL1-Dữ liệu'!#REF!+'PL1-Dữ liệu'!#REF!)</f>
        <v>#REF!</v>
      </c>
      <c r="F39" s="210"/>
    </row>
    <row r="40" spans="1:7" s="176" customFormat="1" ht="22.5" customHeight="1" x14ac:dyDescent="0.25">
      <c r="A40" s="194"/>
      <c r="B40" s="196"/>
      <c r="C40" s="184" t="s">
        <v>248</v>
      </c>
      <c r="D40" s="187" t="s">
        <v>92</v>
      </c>
      <c r="E40" s="191" t="e">
        <f>'PL1-Dữ liệu'!#REF!*('PL1-Dữ liệu'!#REF!*'PL1-Dữ liệu'!#REF!+'PL1-Dữ liệu'!#REF!)</f>
        <v>#REF!</v>
      </c>
      <c r="F40" s="210"/>
    </row>
    <row r="41" spans="1:7" s="176" customFormat="1" ht="22.5" customHeight="1" x14ac:dyDescent="0.25">
      <c r="A41" s="194"/>
      <c r="B41" s="196"/>
      <c r="C41" s="184" t="s">
        <v>251</v>
      </c>
      <c r="D41" s="183" t="s">
        <v>92</v>
      </c>
      <c r="E41" s="197" t="e">
        <f>'PL1-Dữ liệu'!#REF!*('PL1-Dữ liệu'!#REF!*'PL1-Dữ liệu'!#REF!+'PL1-Dữ liệu'!#REF!)</f>
        <v>#REF!</v>
      </c>
      <c r="F41" s="210"/>
    </row>
    <row r="42" spans="1:7" s="176" customFormat="1" ht="22.5" customHeight="1" x14ac:dyDescent="0.25">
      <c r="A42" s="194"/>
      <c r="B42" s="196"/>
      <c r="C42" s="184" t="s">
        <v>250</v>
      </c>
      <c r="D42" s="187" t="s">
        <v>92</v>
      </c>
      <c r="E42" s="191" t="e">
        <f>'PL1-Dữ liệu'!#REF!*('PL1-Dữ liệu'!#REF!*'PL1-Dữ liệu'!#REF!+'PL1-Dữ liệu'!#REF!)</f>
        <v>#REF!</v>
      </c>
      <c r="F42" s="210"/>
    </row>
    <row r="43" spans="1:7" s="176" customFormat="1" ht="22.5" customHeight="1" x14ac:dyDescent="0.25">
      <c r="A43" s="194"/>
      <c r="B43" s="196"/>
      <c r="C43" s="184" t="s">
        <v>243</v>
      </c>
      <c r="D43" s="187" t="s">
        <v>92</v>
      </c>
      <c r="E43" s="191" t="e">
        <f>'PL1-Dữ liệu'!#REF!*('PL1-Dữ liệu'!#REF!*'PL1-Dữ liệu'!#REF!+'PL1-Dữ liệu'!#REF!)</f>
        <v>#REF!</v>
      </c>
      <c r="F43" s="210"/>
    </row>
    <row r="44" spans="1:7" s="176" customFormat="1" ht="22.5" customHeight="1" x14ac:dyDescent="0.25">
      <c r="A44" s="194"/>
      <c r="B44" s="196"/>
      <c r="C44" s="184" t="s">
        <v>14</v>
      </c>
      <c r="D44" s="187" t="s">
        <v>92</v>
      </c>
      <c r="E44" s="191" t="e">
        <f>'PL1-Dữ liệu'!#REF!*('PL1-Dữ liệu'!#REF!*'PL1-Dữ liệu'!#REF!+'PL1-Dữ liệu'!#REF!)</f>
        <v>#REF!</v>
      </c>
      <c r="F44" s="210"/>
    </row>
    <row r="45" spans="1:7" s="176" customFormat="1" ht="22.5" customHeight="1" x14ac:dyDescent="0.25">
      <c r="A45" s="194"/>
      <c r="B45" s="196"/>
      <c r="C45" s="184" t="s">
        <v>13</v>
      </c>
      <c r="D45" s="187" t="s">
        <v>92</v>
      </c>
      <c r="E45" s="191" t="e">
        <f>'PL1-Dữ liệu'!#REF!*('PL1-Dữ liệu'!#REF!*'PL1-Dữ liệu'!#REF!+'PL1-Dữ liệu'!#REF!)</f>
        <v>#REF!</v>
      </c>
      <c r="F45" s="210"/>
    </row>
    <row r="46" spans="1:7" s="175" customFormat="1" ht="22.5" customHeight="1" x14ac:dyDescent="0.25">
      <c r="A46" s="194"/>
      <c r="B46" s="199"/>
      <c r="C46" s="184" t="s">
        <v>16</v>
      </c>
      <c r="D46" s="187" t="s">
        <v>92</v>
      </c>
      <c r="E46" s="185" t="e">
        <f>'PL1-Dữ liệu'!#REF!*('PL1-Dữ liệu'!#REF!*'PL1-Dữ liệu'!#REF!+'PL1-Dữ liệu'!#REF!)</f>
        <v>#REF!</v>
      </c>
      <c r="F46" s="189"/>
    </row>
    <row r="47" spans="1:7" s="175" customFormat="1" ht="62.25" customHeight="1" x14ac:dyDescent="0.25">
      <c r="A47" s="194" t="s">
        <v>255</v>
      </c>
      <c r="B47" s="402" t="s">
        <v>11</v>
      </c>
      <c r="C47" s="402"/>
      <c r="D47" s="207" t="s">
        <v>92</v>
      </c>
      <c r="E47" s="224" t="e">
        <f>E48-E69</f>
        <v>#REF!</v>
      </c>
      <c r="F47" s="189"/>
      <c r="G47" s="177" t="s">
        <v>340</v>
      </c>
    </row>
    <row r="48" spans="1:7" s="175" customFormat="1" ht="24.75" customHeight="1" x14ac:dyDescent="0.25">
      <c r="A48" s="194"/>
      <c r="B48" s="401" t="s">
        <v>342</v>
      </c>
      <c r="C48" s="401"/>
      <c r="D48" s="193"/>
      <c r="E48" s="216" t="e">
        <f>E49+E54</f>
        <v>#REF!</v>
      </c>
      <c r="F48" s="189"/>
      <c r="G48" s="177"/>
    </row>
    <row r="49" spans="1:6" s="175" customFormat="1" ht="22.5" customHeight="1" x14ac:dyDescent="0.25">
      <c r="A49" s="217" t="s">
        <v>255</v>
      </c>
      <c r="B49" s="400" t="s">
        <v>297</v>
      </c>
      <c r="C49" s="400"/>
      <c r="D49" s="212" t="s">
        <v>92</v>
      </c>
      <c r="E49" s="230" t="e">
        <f>SUM(E50:E51) + E53</f>
        <v>#REF!</v>
      </c>
      <c r="F49" s="214"/>
    </row>
    <row r="50" spans="1:6" s="175" customFormat="1" ht="24" customHeight="1" x14ac:dyDescent="0.25">
      <c r="A50" s="194"/>
      <c r="B50" s="198"/>
      <c r="C50" s="200" t="s">
        <v>299</v>
      </c>
      <c r="D50" s="187" t="s">
        <v>92</v>
      </c>
      <c r="E50" s="191">
        <f>(15000000+15000000)*5 + 100000000</f>
        <v>250000000</v>
      </c>
      <c r="F50" s="188" t="s">
        <v>300</v>
      </c>
    </row>
    <row r="51" spans="1:6" s="175" customFormat="1" ht="31.5" x14ac:dyDescent="0.25">
      <c r="A51" s="194"/>
      <c r="B51" s="198"/>
      <c r="C51" s="200" t="s">
        <v>298</v>
      </c>
      <c r="D51" s="187" t="s">
        <v>92</v>
      </c>
      <c r="E51" s="191">
        <f>10000000*5*12</f>
        <v>600000000</v>
      </c>
      <c r="F51" s="188" t="s">
        <v>310</v>
      </c>
    </row>
    <row r="52" spans="1:6" s="175" customFormat="1" ht="32.25" customHeight="1" x14ac:dyDescent="0.25">
      <c r="A52" s="194"/>
      <c r="B52" s="199"/>
      <c r="C52" s="200" t="s">
        <v>301</v>
      </c>
      <c r="D52" s="187" t="s">
        <v>257</v>
      </c>
      <c r="E52" s="191" t="e">
        <f>'PL1-Dữ liệu'!#REF!+'PL1-Dữ liệu'!#REF!+'PL1-Dữ liệu'!#REF!</f>
        <v>#REF!</v>
      </c>
      <c r="F52" s="188" t="s">
        <v>303</v>
      </c>
    </row>
    <row r="53" spans="1:6" s="175" customFormat="1" ht="31.5" x14ac:dyDescent="0.25">
      <c r="A53" s="194"/>
      <c r="B53" s="199"/>
      <c r="C53" s="200" t="s">
        <v>302</v>
      </c>
      <c r="D53" s="187" t="s">
        <v>92</v>
      </c>
      <c r="E53" s="191" t="e">
        <f xml:space="preserve"> (3*3*30*#REF! + 2000000*3*30/2) * 'Vấn đề 2'!E52</f>
        <v>#REF!</v>
      </c>
      <c r="F53" s="188" t="s">
        <v>309</v>
      </c>
    </row>
    <row r="54" spans="1:6" s="175" customFormat="1" ht="31.5" x14ac:dyDescent="0.25">
      <c r="A54" s="221" t="s">
        <v>255</v>
      </c>
      <c r="B54" s="231"/>
      <c r="C54" s="232" t="s">
        <v>312</v>
      </c>
      <c r="D54" s="211"/>
      <c r="E54" s="213" t="e">
        <f xml:space="preserve"> E55 * (E58 + E61) + E56 * (E59+E62) + E57 * (E60 + E63) +E64</f>
        <v>#REF!</v>
      </c>
      <c r="F54" s="188" t="s">
        <v>335</v>
      </c>
    </row>
    <row r="55" spans="1:6" s="175" customFormat="1" ht="31.5" x14ac:dyDescent="0.25">
      <c r="A55" s="218"/>
      <c r="B55" s="219"/>
      <c r="C55" s="181" t="s">
        <v>316</v>
      </c>
      <c r="D55" s="187" t="s">
        <v>315</v>
      </c>
      <c r="E55" s="191" t="e">
        <f>'PL1-Dữ liệu'!#REF!+'PL1-Dữ liệu'!#REF!</f>
        <v>#REF!</v>
      </c>
      <c r="F55" s="225"/>
    </row>
    <row r="56" spans="1:6" s="175" customFormat="1" ht="31.5" x14ac:dyDescent="0.25">
      <c r="A56" s="218"/>
      <c r="B56" s="219"/>
      <c r="C56" s="181" t="s">
        <v>313</v>
      </c>
      <c r="D56" s="187" t="s">
        <v>315</v>
      </c>
      <c r="E56" s="191" t="e">
        <f>'PL1-Dữ liệu'!#REF!</f>
        <v>#REF!</v>
      </c>
      <c r="F56" s="225"/>
    </row>
    <row r="57" spans="1:6" s="175" customFormat="1" ht="31.5" x14ac:dyDescent="0.25">
      <c r="A57" s="218"/>
      <c r="B57" s="219"/>
      <c r="C57" s="181" t="s">
        <v>314</v>
      </c>
      <c r="D57" s="187" t="s">
        <v>315</v>
      </c>
      <c r="E57" s="191" t="e">
        <f>'PL1-Dữ liệu'!#REF!</f>
        <v>#REF!</v>
      </c>
      <c r="F57" s="225"/>
    </row>
    <row r="58" spans="1:6" s="175" customFormat="1" ht="47.25" x14ac:dyDescent="0.25">
      <c r="A58" s="218"/>
      <c r="B58" s="219"/>
      <c r="C58" s="188" t="s">
        <v>321</v>
      </c>
      <c r="D58" s="187" t="s">
        <v>92</v>
      </c>
      <c r="E58" s="191" t="e">
        <f xml:space="preserve"> (2*30*8 + 30*2*3 + 20*8 + 2*3*9) * 'PL1-Dữ liệu'!#REF!</f>
        <v>#REF!</v>
      </c>
      <c r="F58" s="188" t="s">
        <v>324</v>
      </c>
    </row>
    <row r="59" spans="1:6" s="175" customFormat="1" ht="31.5" x14ac:dyDescent="0.25">
      <c r="A59" s="218"/>
      <c r="B59" s="219"/>
      <c r="C59" s="188" t="s">
        <v>322</v>
      </c>
      <c r="D59" s="187" t="s">
        <v>92</v>
      </c>
      <c r="E59" s="191" t="e">
        <f xml:space="preserve"> (1*10*8 + 1 * 3 * 7 + 20* 8 + 1*8) * 'PL1-Dữ liệu'!#REF!</f>
        <v>#REF!</v>
      </c>
      <c r="F59" s="188" t="s">
        <v>325</v>
      </c>
    </row>
    <row r="60" spans="1:6" s="175" customFormat="1" ht="31.5" x14ac:dyDescent="0.25">
      <c r="A60" s="218"/>
      <c r="B60" s="219"/>
      <c r="C60" s="188" t="s">
        <v>323</v>
      </c>
      <c r="D60" s="187" t="s">
        <v>92</v>
      </c>
      <c r="E60" s="191" t="e">
        <f xml:space="preserve"> (1*10*8 + 1 * 3 * 7 + 20* 8 + 1*8) * 'PL1-Dữ liệu'!#REF!</f>
        <v>#REF!</v>
      </c>
      <c r="F60" s="188" t="s">
        <v>325</v>
      </c>
    </row>
    <row r="61" spans="1:6" s="175" customFormat="1" ht="15.75" x14ac:dyDescent="0.25">
      <c r="A61" s="218"/>
      <c r="B61" s="219"/>
      <c r="C61" s="188" t="s">
        <v>317</v>
      </c>
      <c r="D61" s="187" t="s">
        <v>92</v>
      </c>
      <c r="E61" s="191">
        <v>5000000</v>
      </c>
      <c r="F61" s="189" t="s">
        <v>320</v>
      </c>
    </row>
    <row r="62" spans="1:6" s="175" customFormat="1" ht="15.75" x14ac:dyDescent="0.25">
      <c r="A62" s="218"/>
      <c r="B62" s="219"/>
      <c r="C62" s="188" t="s">
        <v>318</v>
      </c>
      <c r="D62" s="187" t="s">
        <v>92</v>
      </c>
      <c r="E62" s="191">
        <v>4000000</v>
      </c>
      <c r="F62" s="189" t="s">
        <v>320</v>
      </c>
    </row>
    <row r="63" spans="1:6" s="175" customFormat="1" ht="15.75" x14ac:dyDescent="0.25">
      <c r="A63" s="218"/>
      <c r="B63" s="219"/>
      <c r="C63" s="188" t="s">
        <v>319</v>
      </c>
      <c r="D63" s="187" t="s">
        <v>92</v>
      </c>
      <c r="E63" s="191">
        <v>4000000</v>
      </c>
      <c r="F63" s="189" t="s">
        <v>320</v>
      </c>
    </row>
    <row r="64" spans="1:6" s="175" customFormat="1" ht="21" customHeight="1" x14ac:dyDescent="0.25">
      <c r="A64" s="218"/>
      <c r="B64" s="219"/>
      <c r="C64" s="181" t="s">
        <v>334</v>
      </c>
      <c r="D64" s="187" t="s">
        <v>92</v>
      </c>
      <c r="E64" s="191" t="e">
        <f xml:space="preserve"> (E65*E66*'PL1-Dữ liệu'!#REF!) + 63 * (E67 +E68)</f>
        <v>#REF!</v>
      </c>
      <c r="F64" s="188"/>
    </row>
    <row r="65" spans="1:7" s="175" customFormat="1" ht="23.25" customHeight="1" x14ac:dyDescent="0.25">
      <c r="A65" s="218"/>
      <c r="B65" s="219"/>
      <c r="C65" s="181" t="s">
        <v>329</v>
      </c>
      <c r="D65" s="183" t="s">
        <v>244</v>
      </c>
      <c r="E65" s="192">
        <v>12</v>
      </c>
      <c r="F65" s="181" t="s">
        <v>326</v>
      </c>
    </row>
    <row r="66" spans="1:7" s="175" customFormat="1" ht="23.25" customHeight="1" x14ac:dyDescent="0.25">
      <c r="A66" s="218"/>
      <c r="B66" s="219"/>
      <c r="C66" s="181" t="s">
        <v>330</v>
      </c>
      <c r="D66" s="183" t="s">
        <v>240</v>
      </c>
      <c r="E66" s="182">
        <f xml:space="preserve"> 30*63</f>
        <v>1890</v>
      </c>
      <c r="F66" s="181" t="s">
        <v>327</v>
      </c>
    </row>
    <row r="67" spans="1:7" s="175" customFormat="1" ht="23.25" customHeight="1" x14ac:dyDescent="0.25">
      <c r="A67" s="218"/>
      <c r="B67" s="219"/>
      <c r="C67" s="181" t="s">
        <v>331</v>
      </c>
      <c r="D67" s="183" t="s">
        <v>92</v>
      </c>
      <c r="E67" s="182">
        <v>30000000</v>
      </c>
      <c r="F67" s="181" t="s">
        <v>328</v>
      </c>
    </row>
    <row r="68" spans="1:7" s="175" customFormat="1" ht="23.25" customHeight="1" x14ac:dyDescent="0.25">
      <c r="A68" s="218"/>
      <c r="B68" s="219"/>
      <c r="C68" s="181" t="s">
        <v>332</v>
      </c>
      <c r="D68" s="183" t="s">
        <v>92</v>
      </c>
      <c r="E68" s="182">
        <f>3*5000000</f>
        <v>15000000</v>
      </c>
      <c r="F68" s="181" t="s">
        <v>333</v>
      </c>
    </row>
    <row r="69" spans="1:7" s="175" customFormat="1" ht="22.5" customHeight="1" x14ac:dyDescent="0.25">
      <c r="A69" s="217" t="s">
        <v>255</v>
      </c>
      <c r="B69" s="400" t="s">
        <v>307</v>
      </c>
      <c r="C69" s="400"/>
      <c r="D69" s="220" t="s">
        <v>92</v>
      </c>
      <c r="E69" s="213" t="e">
        <f>E70+E71+E72</f>
        <v>#REF!</v>
      </c>
      <c r="F69" s="189"/>
    </row>
    <row r="70" spans="1:7" s="175" customFormat="1" ht="63" x14ac:dyDescent="0.25">
      <c r="A70" s="194"/>
      <c r="B70" s="199"/>
      <c r="C70" s="200" t="s">
        <v>305</v>
      </c>
      <c r="D70" s="187" t="s">
        <v>92</v>
      </c>
      <c r="E70" s="191" t="e">
        <f xml:space="preserve"> E9-E10</f>
        <v>#REF!</v>
      </c>
      <c r="F70" s="188" t="s">
        <v>306</v>
      </c>
    </row>
    <row r="71" spans="1:7" s="175" customFormat="1" ht="47.25" x14ac:dyDescent="0.25">
      <c r="A71" s="194"/>
      <c r="B71" s="199"/>
      <c r="C71" s="200" t="s">
        <v>338</v>
      </c>
      <c r="D71" s="187" t="s">
        <v>92</v>
      </c>
      <c r="E71" s="191" t="e">
        <f>E2*5%</f>
        <v>#REF!</v>
      </c>
      <c r="F71" s="188" t="s">
        <v>308</v>
      </c>
    </row>
    <row r="72" spans="1:7" s="175" customFormat="1" ht="45.75" customHeight="1" x14ac:dyDescent="0.25">
      <c r="A72" s="194"/>
      <c r="B72" s="199"/>
      <c r="C72" s="200" t="s">
        <v>337</v>
      </c>
      <c r="D72" s="187" t="s">
        <v>92</v>
      </c>
      <c r="E72" s="191" t="e">
        <f xml:space="preserve"> 'PL1-Dữ liệu'!#REF!*3000*'PL1-Dữ liệu'!#REF!</f>
        <v>#REF!</v>
      </c>
      <c r="F72" s="188" t="s">
        <v>336</v>
      </c>
    </row>
    <row r="73" spans="1:7" s="178" customFormat="1" ht="50.25" customHeight="1" x14ac:dyDescent="0.25">
      <c r="A73" s="221" t="s">
        <v>256</v>
      </c>
      <c r="B73" s="222"/>
      <c r="C73" s="223" t="s">
        <v>12</v>
      </c>
      <c r="D73" s="207" t="s">
        <v>92</v>
      </c>
      <c r="E73" s="224" t="e">
        <f>E74-E89</f>
        <v>#REF!</v>
      </c>
      <c r="F73" s="225"/>
      <c r="G73" s="177" t="s">
        <v>340</v>
      </c>
    </row>
    <row r="74" spans="1:7" s="178" customFormat="1" ht="33.75" customHeight="1" x14ac:dyDescent="0.25">
      <c r="A74" s="221" t="s">
        <v>256</v>
      </c>
      <c r="B74" s="231"/>
      <c r="C74" s="232" t="s">
        <v>312</v>
      </c>
      <c r="D74" s="211"/>
      <c r="E74" s="213" t="e">
        <f xml:space="preserve"> E75 * (E78 + E81) + E76 * (E79+E82) + E77 * (E80 + E83) +E84</f>
        <v>#REF!</v>
      </c>
      <c r="F74" s="188" t="s">
        <v>335</v>
      </c>
    </row>
    <row r="75" spans="1:7" s="178" customFormat="1" ht="33.75" customHeight="1" x14ac:dyDescent="0.25">
      <c r="A75" s="218"/>
      <c r="B75" s="219"/>
      <c r="C75" s="181" t="s">
        <v>344</v>
      </c>
      <c r="D75" s="187" t="s">
        <v>315</v>
      </c>
      <c r="E75" s="191" t="e">
        <f>'PL1-Dữ liệu'!#REF! + 'PL1-Dữ liệu'!#REF!</f>
        <v>#REF!</v>
      </c>
      <c r="F75" s="225"/>
    </row>
    <row r="76" spans="1:7" s="178" customFormat="1" ht="33.75" customHeight="1" x14ac:dyDescent="0.25">
      <c r="A76" s="218"/>
      <c r="B76" s="219"/>
      <c r="C76" s="181" t="s">
        <v>345</v>
      </c>
      <c r="D76" s="187" t="s">
        <v>315</v>
      </c>
      <c r="E76" s="191" t="e">
        <f>'PL1-Dữ liệu'!#REF!</f>
        <v>#REF!</v>
      </c>
      <c r="F76" s="225"/>
    </row>
    <row r="77" spans="1:7" s="178" customFormat="1" ht="33.75" customHeight="1" x14ac:dyDescent="0.25">
      <c r="A77" s="218"/>
      <c r="B77" s="219"/>
      <c r="C77" s="181" t="s">
        <v>346</v>
      </c>
      <c r="D77" s="187" t="s">
        <v>315</v>
      </c>
      <c r="E77" s="191" t="e">
        <f>'PL1-Dữ liệu'!#REF!</f>
        <v>#REF!</v>
      </c>
      <c r="F77" s="225"/>
    </row>
    <row r="78" spans="1:7" s="178" customFormat="1" ht="54" customHeight="1" x14ac:dyDescent="0.25">
      <c r="A78" s="218"/>
      <c r="B78" s="219"/>
      <c r="C78" s="188" t="s">
        <v>321</v>
      </c>
      <c r="D78" s="187" t="s">
        <v>92</v>
      </c>
      <c r="E78" s="191" t="e">
        <f xml:space="preserve"> (2*30*8 + 30*2*3 + 20*8 + 2*3*9) * 'PL1-Dữ liệu'!#REF!</f>
        <v>#REF!</v>
      </c>
      <c r="F78" s="188" t="s">
        <v>324</v>
      </c>
    </row>
    <row r="79" spans="1:7" s="178" customFormat="1" ht="31.5" x14ac:dyDescent="0.25">
      <c r="A79" s="218"/>
      <c r="B79" s="219"/>
      <c r="C79" s="188" t="s">
        <v>322</v>
      </c>
      <c r="D79" s="187" t="s">
        <v>92</v>
      </c>
      <c r="E79" s="191" t="e">
        <f xml:space="preserve"> (1*10*8 + 1 * 3 * 7 + 20* 8 + 1*8) * 'PL1-Dữ liệu'!#REF!</f>
        <v>#REF!</v>
      </c>
      <c r="F79" s="188" t="s">
        <v>325</v>
      </c>
    </row>
    <row r="80" spans="1:7" s="178" customFormat="1" ht="33.75" customHeight="1" x14ac:dyDescent="0.25">
      <c r="A80" s="218"/>
      <c r="B80" s="219"/>
      <c r="C80" s="188" t="s">
        <v>323</v>
      </c>
      <c r="D80" s="187" t="s">
        <v>92</v>
      </c>
      <c r="E80" s="191" t="e">
        <f xml:space="preserve"> (1*10*8 + 1 * 3 * 7 + 20* 8 + 1*8) * 'PL1-Dữ liệu'!#REF!</f>
        <v>#REF!</v>
      </c>
      <c r="F80" s="188" t="s">
        <v>325</v>
      </c>
    </row>
    <row r="81" spans="1:6" s="178" customFormat="1" ht="33.75" customHeight="1" x14ac:dyDescent="0.25">
      <c r="A81" s="218"/>
      <c r="B81" s="219"/>
      <c r="C81" s="188" t="s">
        <v>317</v>
      </c>
      <c r="D81" s="187" t="s">
        <v>92</v>
      </c>
      <c r="E81" s="191">
        <v>5000000</v>
      </c>
      <c r="F81" s="189" t="s">
        <v>320</v>
      </c>
    </row>
    <row r="82" spans="1:6" s="178" customFormat="1" ht="33.75" customHeight="1" x14ac:dyDescent="0.25">
      <c r="A82" s="218"/>
      <c r="B82" s="219"/>
      <c r="C82" s="188" t="s">
        <v>318</v>
      </c>
      <c r="D82" s="187" t="s">
        <v>92</v>
      </c>
      <c r="E82" s="191">
        <v>4000000</v>
      </c>
      <c r="F82" s="189" t="s">
        <v>320</v>
      </c>
    </row>
    <row r="83" spans="1:6" s="178" customFormat="1" ht="33.75" customHeight="1" x14ac:dyDescent="0.25">
      <c r="A83" s="218"/>
      <c r="B83" s="219"/>
      <c r="C83" s="188" t="s">
        <v>319</v>
      </c>
      <c r="D83" s="187" t="s">
        <v>92</v>
      </c>
      <c r="E83" s="191">
        <v>4000000</v>
      </c>
      <c r="F83" s="189" t="s">
        <v>320</v>
      </c>
    </row>
    <row r="84" spans="1:6" s="178" customFormat="1" ht="30.75" customHeight="1" x14ac:dyDescent="0.25">
      <c r="A84" s="218"/>
      <c r="B84" s="219"/>
      <c r="C84" s="181" t="s">
        <v>334</v>
      </c>
      <c r="D84" s="187" t="s">
        <v>92</v>
      </c>
      <c r="E84" s="191" t="e">
        <f xml:space="preserve"> (E85*E86*'PL1-Dữ liệu'!#REF!) + 63 * (E87 +E88)</f>
        <v>#REF!</v>
      </c>
      <c r="F84" s="188"/>
    </row>
    <row r="85" spans="1:6" s="178" customFormat="1" ht="33.75" customHeight="1" x14ac:dyDescent="0.25">
      <c r="A85" s="218"/>
      <c r="B85" s="219"/>
      <c r="C85" s="181" t="s">
        <v>329</v>
      </c>
      <c r="D85" s="183" t="s">
        <v>244</v>
      </c>
      <c r="E85" s="192">
        <v>12</v>
      </c>
      <c r="F85" s="181" t="s">
        <v>326</v>
      </c>
    </row>
    <row r="86" spans="1:6" s="178" customFormat="1" ht="33.75" customHeight="1" x14ac:dyDescent="0.25">
      <c r="A86" s="218"/>
      <c r="B86" s="219"/>
      <c r="C86" s="181" t="s">
        <v>330</v>
      </c>
      <c r="D86" s="183" t="s">
        <v>240</v>
      </c>
      <c r="E86" s="182">
        <f xml:space="preserve"> 30*63</f>
        <v>1890</v>
      </c>
      <c r="F86" s="181" t="s">
        <v>327</v>
      </c>
    </row>
    <row r="87" spans="1:6" s="178" customFormat="1" ht="33.75" customHeight="1" x14ac:dyDescent="0.25">
      <c r="A87" s="218"/>
      <c r="B87" s="219"/>
      <c r="C87" s="181" t="s">
        <v>331</v>
      </c>
      <c r="D87" s="183" t="s">
        <v>92</v>
      </c>
      <c r="E87" s="182">
        <v>30000000</v>
      </c>
      <c r="F87" s="181" t="s">
        <v>328</v>
      </c>
    </row>
    <row r="88" spans="1:6" s="178" customFormat="1" ht="33.75" customHeight="1" x14ac:dyDescent="0.25">
      <c r="A88" s="218"/>
      <c r="B88" s="219"/>
      <c r="C88" s="181" t="s">
        <v>332</v>
      </c>
      <c r="D88" s="183" t="s">
        <v>92</v>
      </c>
      <c r="E88" s="182">
        <f>3*5000000</f>
        <v>15000000</v>
      </c>
      <c r="F88" s="181" t="s">
        <v>333</v>
      </c>
    </row>
    <row r="89" spans="1:6" s="178" customFormat="1" ht="33.75" customHeight="1" x14ac:dyDescent="0.25">
      <c r="A89" s="217" t="s">
        <v>256</v>
      </c>
      <c r="B89" s="400" t="s">
        <v>339</v>
      </c>
      <c r="C89" s="400"/>
      <c r="D89" s="220" t="s">
        <v>92</v>
      </c>
      <c r="E89" s="213" t="e">
        <f>SUM(E90:E92)</f>
        <v>#REF!</v>
      </c>
      <c r="F89" s="181"/>
    </row>
    <row r="90" spans="1:6" s="178" customFormat="1" ht="28.5" customHeight="1" x14ac:dyDescent="0.25">
      <c r="A90" s="194"/>
      <c r="B90" s="196"/>
      <c r="C90" s="200" t="s">
        <v>304</v>
      </c>
      <c r="D90" s="193"/>
      <c r="E90" s="215" t="e">
        <f>E9</f>
        <v>#REF!</v>
      </c>
      <c r="F90" s="214"/>
    </row>
    <row r="91" spans="1:6" s="178" customFormat="1" ht="27.75" customHeight="1" x14ac:dyDescent="0.25">
      <c r="A91" s="194"/>
      <c r="B91" s="196"/>
      <c r="C91" s="200" t="s">
        <v>311</v>
      </c>
      <c r="D91" s="193"/>
      <c r="E91" s="215" t="e">
        <f>E21</f>
        <v>#REF!</v>
      </c>
      <c r="F91" s="214"/>
    </row>
    <row r="92" spans="1:6" s="178" customFormat="1" ht="37.5" customHeight="1" x14ac:dyDescent="0.25">
      <c r="A92" s="194"/>
      <c r="B92" s="199"/>
      <c r="C92" s="200" t="s">
        <v>337</v>
      </c>
      <c r="D92" s="187" t="s">
        <v>92</v>
      </c>
      <c r="E92" s="191" t="e">
        <f xml:space="preserve"> 'PL1-Dữ liệu'!#REF!*3000*'PL1-Dữ liệu'!#REF!</f>
        <v>#REF!</v>
      </c>
      <c r="F92" s="188" t="s">
        <v>336</v>
      </c>
    </row>
    <row r="93" spans="1:6" s="175" customFormat="1" ht="20.25" customHeight="1" x14ac:dyDescent="0.25">
      <c r="A93" s="201"/>
      <c r="B93" s="202"/>
      <c r="C93" s="203" t="s">
        <v>0</v>
      </c>
      <c r="D93" s="204"/>
      <c r="E93" s="202"/>
      <c r="F93" s="189"/>
    </row>
    <row r="94" spans="1:6" s="175" customFormat="1" ht="20.25" customHeight="1" x14ac:dyDescent="0.25">
      <c r="A94" s="194" t="s">
        <v>254</v>
      </c>
      <c r="B94" s="189"/>
      <c r="C94" s="189" t="s">
        <v>1</v>
      </c>
      <c r="D94" s="190"/>
      <c r="E94" s="205" t="e">
        <f>E2</f>
        <v>#REF!</v>
      </c>
      <c r="F94" s="189"/>
    </row>
    <row r="95" spans="1:6" s="175" customFormat="1" ht="20.25" customHeight="1" x14ac:dyDescent="0.25">
      <c r="A95" s="194" t="s">
        <v>255</v>
      </c>
      <c r="B95" s="189"/>
      <c r="C95" s="189" t="s">
        <v>3</v>
      </c>
      <c r="D95" s="190"/>
      <c r="E95" s="205" t="e">
        <f xml:space="preserve"> E96 - E97</f>
        <v>#REF!</v>
      </c>
      <c r="F95" s="189" t="s">
        <v>8</v>
      </c>
    </row>
    <row r="96" spans="1:6" s="175" customFormat="1" ht="20.25" customHeight="1" x14ac:dyDescent="0.25">
      <c r="A96" s="194"/>
      <c r="B96" s="189"/>
      <c r="C96" s="226" t="s">
        <v>2</v>
      </c>
      <c r="D96" s="190"/>
      <c r="E96" s="227" t="e">
        <f>E49+E54</f>
        <v>#REF!</v>
      </c>
      <c r="F96" s="189"/>
    </row>
    <row r="97" spans="1:6" s="175" customFormat="1" ht="20.25" customHeight="1" x14ac:dyDescent="0.25">
      <c r="A97" s="194"/>
      <c r="B97" s="189"/>
      <c r="C97" s="226" t="s">
        <v>9</v>
      </c>
      <c r="D97" s="190"/>
      <c r="E97" s="227" t="e">
        <f>E69</f>
        <v>#REF!</v>
      </c>
      <c r="F97" s="189"/>
    </row>
    <row r="98" spans="1:6" s="175" customFormat="1" ht="20.25" customHeight="1" x14ac:dyDescent="0.25">
      <c r="A98" s="194" t="s">
        <v>256</v>
      </c>
      <c r="B98" s="189"/>
      <c r="C98" s="189" t="s">
        <v>4</v>
      </c>
      <c r="D98" s="190"/>
      <c r="E98" s="205" t="e">
        <f>E73</f>
        <v>#REF!</v>
      </c>
      <c r="F98" s="189" t="s">
        <v>8</v>
      </c>
    </row>
    <row r="99" spans="1:6" ht="20.25" customHeight="1" x14ac:dyDescent="0.25">
      <c r="A99" s="233"/>
      <c r="B99" s="186"/>
      <c r="C99" s="226" t="s">
        <v>5</v>
      </c>
      <c r="D99" s="180"/>
      <c r="E99" s="228" t="e">
        <f>E74</f>
        <v>#REF!</v>
      </c>
      <c r="F99" s="189"/>
    </row>
    <row r="100" spans="1:6" ht="20.25" customHeight="1" x14ac:dyDescent="0.25">
      <c r="A100" s="233"/>
      <c r="B100" s="186"/>
      <c r="C100" s="226" t="s">
        <v>6</v>
      </c>
      <c r="D100" s="180"/>
      <c r="E100" s="228" t="e">
        <f>E89</f>
        <v>#REF!</v>
      </c>
      <c r="F100" s="189"/>
    </row>
  </sheetData>
  <mergeCells count="8">
    <mergeCell ref="B89:C89"/>
    <mergeCell ref="B4:C4"/>
    <mergeCell ref="B48:C48"/>
    <mergeCell ref="B2:C2"/>
    <mergeCell ref="B3:C3"/>
    <mergeCell ref="B49:C49"/>
    <mergeCell ref="B47:C47"/>
    <mergeCell ref="B69:C69"/>
  </mergeCells>
  <phoneticPr fontId="0" type="noConversion"/>
  <pageMargins left="0.25" right="0.15" top="0.59" bottom="0.3" header="0.25" footer="0.11"/>
  <pageSetup paperSize="9" scale="70" orientation="landscape" r:id="rId1"/>
  <headerFooter>
    <oddHeader>&amp;C&amp;"Times New Roman,Bold"&amp;16PHỤ LỤC 3. TÍNH TOÁN CHI PHÍ - LỢI ÍCH VẤN ĐỀ 2</oddHeader>
    <oddFooter>&amp;C&amp;P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O89"/>
  <sheetViews>
    <sheetView zoomScale="120" zoomScaleNormal="120" workbookViewId="0">
      <pane xSplit="3" ySplit="2" topLeftCell="D82" activePane="bottomRight" state="frozen"/>
      <selection pane="topRight" activeCell="D1" sqref="D1"/>
      <selection pane="bottomLeft" activeCell="A3" sqref="A3"/>
      <selection pane="bottomRight" activeCell="B79" sqref="B79:C79"/>
    </sheetView>
  </sheetViews>
  <sheetFormatPr defaultColWidth="9.28515625" defaultRowHeight="12.75" x14ac:dyDescent="0.2"/>
  <cols>
    <col min="1" max="1" width="7.7109375" style="14" bestFit="1" customWidth="1"/>
    <col min="2" max="2" width="5.5703125" style="12" customWidth="1"/>
    <col min="3" max="3" width="49.5703125" style="12" customWidth="1"/>
    <col min="4" max="4" width="9.7109375" style="12" bestFit="1" customWidth="1"/>
    <col min="5" max="5" width="15.28515625" style="12" bestFit="1" customWidth="1"/>
    <col min="6" max="6" width="14.28515625" style="12" bestFit="1" customWidth="1"/>
    <col min="7" max="15" width="13.5703125" style="12" bestFit="1" customWidth="1"/>
    <col min="16" max="16" width="11.7109375" style="12" customWidth="1"/>
    <col min="17" max="16384" width="9.28515625" style="12"/>
  </cols>
  <sheetData>
    <row r="1" spans="1:15" ht="28.5" customHeight="1" thickBot="1" x14ac:dyDescent="0.25">
      <c r="A1" s="40" t="s">
        <v>134</v>
      </c>
      <c r="B1" s="41"/>
      <c r="C1" s="172" t="s">
        <v>182</v>
      </c>
      <c r="D1" s="42"/>
      <c r="E1" s="91"/>
      <c r="F1" s="92" t="s">
        <v>94</v>
      </c>
      <c r="G1" s="93" t="s">
        <v>95</v>
      </c>
      <c r="H1" s="94" t="s">
        <v>96</v>
      </c>
      <c r="I1" s="95" t="s">
        <v>97</v>
      </c>
      <c r="J1" s="96"/>
      <c r="K1" s="96"/>
      <c r="L1" s="96"/>
      <c r="M1" s="96"/>
      <c r="N1" s="96"/>
      <c r="O1" s="96"/>
    </row>
    <row r="2" spans="1:15" ht="26.25" thickBot="1" x14ac:dyDescent="0.25">
      <c r="A2" s="139" t="s">
        <v>122</v>
      </c>
      <c r="B2" s="66"/>
      <c r="C2" s="67" t="s">
        <v>109</v>
      </c>
      <c r="D2" s="15" t="s">
        <v>101</v>
      </c>
      <c r="E2" s="140" t="s">
        <v>123</v>
      </c>
      <c r="F2" s="67" t="s">
        <v>124</v>
      </c>
      <c r="G2" s="67" t="s">
        <v>125</v>
      </c>
      <c r="H2" s="67" t="s">
        <v>126</v>
      </c>
      <c r="I2" s="67" t="s">
        <v>127</v>
      </c>
      <c r="J2" s="67" t="s">
        <v>128</v>
      </c>
      <c r="K2" s="67" t="s">
        <v>129</v>
      </c>
      <c r="L2" s="67" t="s">
        <v>130</v>
      </c>
      <c r="M2" s="67" t="s">
        <v>131</v>
      </c>
      <c r="N2" s="67" t="s">
        <v>132</v>
      </c>
      <c r="O2" s="141" t="s">
        <v>133</v>
      </c>
    </row>
    <row r="3" spans="1:15" ht="31.5" customHeight="1" x14ac:dyDescent="0.2">
      <c r="A3" s="44" t="s">
        <v>111</v>
      </c>
      <c r="B3" s="411" t="s">
        <v>110</v>
      </c>
      <c r="C3" s="411"/>
      <c r="D3" s="17"/>
      <c r="E3" s="107"/>
      <c r="F3" s="108"/>
      <c r="G3" s="108"/>
      <c r="H3" s="108"/>
      <c r="I3" s="108"/>
      <c r="J3" s="108"/>
      <c r="K3" s="108"/>
      <c r="L3" s="108"/>
      <c r="M3" s="108"/>
      <c r="N3" s="108"/>
      <c r="O3" s="109"/>
    </row>
    <row r="4" spans="1:15" ht="31.5" customHeight="1" x14ac:dyDescent="0.25">
      <c r="A4" s="16" t="s">
        <v>111</v>
      </c>
      <c r="B4" s="408" t="s">
        <v>142</v>
      </c>
      <c r="C4" s="408"/>
      <c r="D4" s="25" t="s">
        <v>99</v>
      </c>
      <c r="E4" s="99"/>
      <c r="F4" s="99"/>
      <c r="G4" s="99"/>
      <c r="H4" s="99"/>
      <c r="I4" s="99"/>
      <c r="J4" s="99"/>
      <c r="K4" s="99"/>
      <c r="L4" s="99"/>
      <c r="M4" s="99"/>
      <c r="N4" s="99"/>
      <c r="O4" s="100"/>
    </row>
    <row r="5" spans="1:15" ht="27" customHeight="1" x14ac:dyDescent="0.2">
      <c r="A5" s="37" t="s">
        <v>111</v>
      </c>
      <c r="B5" s="412" t="s">
        <v>141</v>
      </c>
      <c r="C5" s="412"/>
      <c r="D5" s="19" t="s">
        <v>99</v>
      </c>
      <c r="E5" s="20" t="e">
        <f>SUM(F5:O5)</f>
        <v>#REF!</v>
      </c>
      <c r="F5" s="21" t="e">
        <f>($E$7*$E$13+$E$8*$E$14+$E$9*$E$15+$E$10*$E$16+$E$11*$E$17+$E$18*$E$19)*$E$20*F21*$E$22/1000</f>
        <v>#REF!</v>
      </c>
      <c r="G5" s="21" t="e">
        <f>($E$7*$E$13+$E$8*$E$14+$E$9*$E$15+$E$10*$E$16+$E$11*$E$17+$E$18*$E$19)*$E$20*G21*$E$22*(1+'PL1-Dữ liệu'!#REF!)/1000</f>
        <v>#REF!</v>
      </c>
      <c r="H5" s="21" t="e">
        <f>($E$7*$E$13+$E$8*$E$14+$E$9*$E$15+$E$10*$E$16+$E$11*$E$17+$E$18*$E$19)*$E$20*H21*$E$22*(1+'PL1-Dữ liệu'!#REF!)/1000</f>
        <v>#REF!</v>
      </c>
      <c r="I5" s="21" t="e">
        <f>($E$7*$E$13+$E$8*$E$14+$E$9*$E$15+$E$10*$E$16+$E$11*$E$17+$E$18*$E$19)*$E$20*I21*$E$22*(1+'PL1-Dữ liệu'!#REF!)/1000</f>
        <v>#REF!</v>
      </c>
      <c r="J5" s="21" t="e">
        <f>I5*(1+'PL1-Dữ liệu'!#REF!)</f>
        <v>#REF!</v>
      </c>
      <c r="K5" s="21" t="e">
        <f>J5*(1+'PL1-Dữ liệu'!#REF!)</f>
        <v>#REF!</v>
      </c>
      <c r="L5" s="21" t="e">
        <f>K5*(1+'PL1-Dữ liệu'!#REF!)</f>
        <v>#REF!</v>
      </c>
      <c r="M5" s="21" t="e">
        <f>L5*(1+'PL1-Dữ liệu'!#REF!)</f>
        <v>#REF!</v>
      </c>
      <c r="N5" s="21" t="e">
        <f>M5*(1+'PL1-Dữ liệu'!#REF!)</f>
        <v>#REF!</v>
      </c>
      <c r="O5" s="123" t="e">
        <f>N5*(1+'PL1-Dữ liệu'!#REF!)</f>
        <v>#REF!</v>
      </c>
    </row>
    <row r="6" spans="1:15" ht="25.5" x14ac:dyDescent="0.2">
      <c r="A6" s="143"/>
      <c r="B6" s="43"/>
      <c r="C6" s="22" t="s">
        <v>135</v>
      </c>
      <c r="D6" s="23" t="s">
        <v>181</v>
      </c>
      <c r="E6" s="24" t="e">
        <f>'PL1-Dữ liệu'!#REF!</f>
        <v>#REF!</v>
      </c>
      <c r="F6" s="25"/>
      <c r="G6" s="25"/>
      <c r="H6" s="25"/>
      <c r="I6" s="25"/>
      <c r="J6" s="25"/>
      <c r="K6" s="25"/>
      <c r="L6" s="25"/>
      <c r="M6" s="25"/>
      <c r="N6" s="25"/>
      <c r="O6" s="26"/>
    </row>
    <row r="7" spans="1:15" ht="25.5" x14ac:dyDescent="0.2">
      <c r="A7" s="143"/>
      <c r="B7" s="43"/>
      <c r="C7" s="22" t="s">
        <v>136</v>
      </c>
      <c r="D7" s="23" t="s">
        <v>181</v>
      </c>
      <c r="E7" s="24" t="e">
        <f>'PL1-Dữ liệu'!#REF!</f>
        <v>#REF!</v>
      </c>
      <c r="F7" s="25"/>
      <c r="G7" s="25"/>
      <c r="H7" s="25"/>
      <c r="I7" s="25"/>
      <c r="J7" s="25"/>
      <c r="K7" s="25"/>
      <c r="L7" s="25"/>
      <c r="M7" s="25"/>
      <c r="N7" s="25"/>
      <c r="O7" s="26"/>
    </row>
    <row r="8" spans="1:15" ht="25.5" x14ac:dyDescent="0.2">
      <c r="A8" s="143"/>
      <c r="B8" s="43"/>
      <c r="C8" s="22" t="s">
        <v>143</v>
      </c>
      <c r="D8" s="23" t="s">
        <v>181</v>
      </c>
      <c r="E8" s="24" t="e">
        <f>'PL1-Dữ liệu'!#REF!</f>
        <v>#REF!</v>
      </c>
      <c r="F8" s="25"/>
      <c r="G8" s="25"/>
      <c r="H8" s="25"/>
      <c r="I8" s="25"/>
      <c r="J8" s="25"/>
      <c r="K8" s="25"/>
      <c r="L8" s="25"/>
      <c r="M8" s="25"/>
      <c r="N8" s="25"/>
      <c r="O8" s="26"/>
    </row>
    <row r="9" spans="1:15" ht="25.5" x14ac:dyDescent="0.2">
      <c r="A9" s="143"/>
      <c r="B9" s="25"/>
      <c r="C9" s="22" t="s">
        <v>144</v>
      </c>
      <c r="D9" s="23" t="s">
        <v>181</v>
      </c>
      <c r="E9" s="24" t="e">
        <f>'PL1-Dữ liệu'!#REF!</f>
        <v>#REF!</v>
      </c>
      <c r="F9" s="25"/>
      <c r="G9" s="25"/>
      <c r="H9" s="25"/>
      <c r="I9" s="25"/>
      <c r="J9" s="25"/>
      <c r="K9" s="25"/>
      <c r="L9" s="25"/>
      <c r="M9" s="25"/>
      <c r="N9" s="25"/>
      <c r="O9" s="26"/>
    </row>
    <row r="10" spans="1:15" ht="25.5" x14ac:dyDescent="0.2">
      <c r="A10" s="143"/>
      <c r="B10" s="25"/>
      <c r="C10" s="22" t="s">
        <v>145</v>
      </c>
      <c r="D10" s="23" t="s">
        <v>181</v>
      </c>
      <c r="E10" s="24" t="e">
        <f>'PL1-Dữ liệu'!#REF!</f>
        <v>#REF!</v>
      </c>
      <c r="F10" s="25"/>
      <c r="G10" s="25"/>
      <c r="H10" s="25"/>
      <c r="I10" s="25"/>
      <c r="J10" s="25"/>
      <c r="K10" s="25"/>
      <c r="L10" s="25"/>
      <c r="M10" s="25"/>
      <c r="N10" s="25"/>
      <c r="O10" s="26"/>
    </row>
    <row r="11" spans="1:15" ht="25.5" x14ac:dyDescent="0.2">
      <c r="A11" s="143"/>
      <c r="B11" s="25"/>
      <c r="C11" s="22" t="s">
        <v>146</v>
      </c>
      <c r="D11" s="23" t="s">
        <v>181</v>
      </c>
      <c r="E11" s="24" t="e">
        <f>'PL1-Dữ liệu'!#REF!</f>
        <v>#REF!</v>
      </c>
      <c r="F11" s="25"/>
      <c r="G11" s="25"/>
      <c r="H11" s="25"/>
      <c r="I11" s="25"/>
      <c r="J11" s="25"/>
      <c r="K11" s="25"/>
      <c r="L11" s="25"/>
      <c r="M11" s="25"/>
      <c r="N11" s="25"/>
      <c r="O11" s="26"/>
    </row>
    <row r="12" spans="1:15" ht="25.5" x14ac:dyDescent="0.2">
      <c r="A12" s="143"/>
      <c r="B12" s="25"/>
      <c r="C12" s="27" t="s">
        <v>137</v>
      </c>
      <c r="D12" s="28"/>
      <c r="E12" s="25"/>
      <c r="F12" s="25"/>
      <c r="G12" s="25"/>
      <c r="H12" s="25"/>
      <c r="I12" s="25"/>
      <c r="J12" s="25"/>
      <c r="K12" s="25"/>
      <c r="L12" s="25"/>
      <c r="M12" s="25"/>
      <c r="N12" s="25"/>
      <c r="O12" s="26"/>
    </row>
    <row r="13" spans="1:15" ht="25.5" x14ac:dyDescent="0.2">
      <c r="A13" s="143"/>
      <c r="B13" s="25"/>
      <c r="C13" s="22" t="s">
        <v>140</v>
      </c>
      <c r="D13" s="23" t="s">
        <v>92</v>
      </c>
      <c r="E13" s="29" t="e">
        <f>'PL1-Dữ liệu'!#REF!</f>
        <v>#REF!</v>
      </c>
      <c r="F13" s="25"/>
      <c r="G13" s="25"/>
      <c r="H13" s="25"/>
      <c r="I13" s="25"/>
      <c r="J13" s="25"/>
      <c r="K13" s="25"/>
      <c r="L13" s="25"/>
      <c r="M13" s="25"/>
      <c r="N13" s="25"/>
      <c r="O13" s="26"/>
    </row>
    <row r="14" spans="1:15" ht="25.5" x14ac:dyDescent="0.2">
      <c r="A14" s="143"/>
      <c r="B14" s="25"/>
      <c r="C14" s="22" t="s">
        <v>143</v>
      </c>
      <c r="D14" s="23" t="s">
        <v>92</v>
      </c>
      <c r="E14" s="29" t="e">
        <f>'PL1-Dữ liệu'!#REF!</f>
        <v>#REF!</v>
      </c>
      <c r="F14" s="25"/>
      <c r="G14" s="25"/>
      <c r="H14" s="25"/>
      <c r="I14" s="25"/>
      <c r="J14" s="25"/>
      <c r="K14" s="25"/>
      <c r="L14" s="25"/>
      <c r="M14" s="25"/>
      <c r="N14" s="25"/>
      <c r="O14" s="26"/>
    </row>
    <row r="15" spans="1:15" ht="25.5" x14ac:dyDescent="0.2">
      <c r="A15" s="143"/>
      <c r="B15" s="25"/>
      <c r="C15" s="22" t="s">
        <v>144</v>
      </c>
      <c r="D15" s="23" t="s">
        <v>92</v>
      </c>
      <c r="E15" s="29" t="e">
        <f>'PL1-Dữ liệu'!#REF!</f>
        <v>#REF!</v>
      </c>
      <c r="F15" s="25"/>
      <c r="G15" s="25"/>
      <c r="H15" s="25"/>
      <c r="I15" s="25"/>
      <c r="J15" s="25"/>
      <c r="K15" s="25"/>
      <c r="L15" s="25"/>
      <c r="M15" s="25"/>
      <c r="N15" s="25"/>
      <c r="O15" s="26"/>
    </row>
    <row r="16" spans="1:15" ht="25.5" x14ac:dyDescent="0.2">
      <c r="A16" s="143"/>
      <c r="B16" s="25"/>
      <c r="C16" s="22" t="s">
        <v>145</v>
      </c>
      <c r="D16" s="23" t="s">
        <v>92</v>
      </c>
      <c r="E16" s="29" t="e">
        <f>'PL1-Dữ liệu'!#REF!</f>
        <v>#REF!</v>
      </c>
      <c r="F16" s="25"/>
      <c r="G16" s="25"/>
      <c r="H16" s="25"/>
      <c r="I16" s="25"/>
      <c r="J16" s="25"/>
      <c r="K16" s="25"/>
      <c r="L16" s="25"/>
      <c r="M16" s="25"/>
      <c r="N16" s="25"/>
      <c r="O16" s="26"/>
    </row>
    <row r="17" spans="1:15" ht="25.5" x14ac:dyDescent="0.2">
      <c r="A17" s="143"/>
      <c r="B17" s="25"/>
      <c r="C17" s="22" t="s">
        <v>147</v>
      </c>
      <c r="D17" s="23" t="s">
        <v>92</v>
      </c>
      <c r="E17" s="29" t="e">
        <f>'PL1-Dữ liệu'!#REF!</f>
        <v>#REF!</v>
      </c>
      <c r="F17" s="25"/>
      <c r="G17" s="25"/>
      <c r="H17" s="25"/>
      <c r="I17" s="25"/>
      <c r="J17" s="25"/>
      <c r="K17" s="25"/>
      <c r="L17" s="25"/>
      <c r="M17" s="25"/>
      <c r="N17" s="25"/>
      <c r="O17" s="26"/>
    </row>
    <row r="18" spans="1:15" ht="25.5" x14ac:dyDescent="0.2">
      <c r="A18" s="143"/>
      <c r="B18" s="25"/>
      <c r="C18" s="22" t="s">
        <v>183</v>
      </c>
      <c r="D18" s="23" t="s">
        <v>181</v>
      </c>
      <c r="E18" s="29" t="e">
        <f>'PL1-Dữ liệu'!#REF!</f>
        <v>#REF!</v>
      </c>
      <c r="F18" s="25"/>
      <c r="G18" s="25"/>
      <c r="H18" s="25"/>
      <c r="I18" s="25"/>
      <c r="J18" s="25"/>
      <c r="K18" s="25"/>
      <c r="L18" s="25"/>
      <c r="M18" s="25"/>
      <c r="N18" s="25"/>
      <c r="O18" s="26"/>
    </row>
    <row r="19" spans="1:15" ht="25.5" x14ac:dyDescent="0.2">
      <c r="A19" s="143"/>
      <c r="B19" s="25"/>
      <c r="C19" s="22" t="s">
        <v>184</v>
      </c>
      <c r="D19" s="23" t="s">
        <v>92</v>
      </c>
      <c r="E19" s="29" t="e">
        <f>'PL1-Dữ liệu'!#REF!</f>
        <v>#REF!</v>
      </c>
      <c r="F19" s="25"/>
      <c r="G19" s="25"/>
      <c r="H19" s="25"/>
      <c r="I19" s="25"/>
      <c r="J19" s="25"/>
      <c r="K19" s="25"/>
      <c r="L19" s="25"/>
      <c r="M19" s="25"/>
      <c r="N19" s="25"/>
      <c r="O19" s="26"/>
    </row>
    <row r="20" spans="1:15" ht="25.5" x14ac:dyDescent="0.2">
      <c r="A20" s="143"/>
      <c r="B20" s="25"/>
      <c r="C20" s="22" t="s">
        <v>138</v>
      </c>
      <c r="D20" s="28" t="s">
        <v>98</v>
      </c>
      <c r="E20" s="30">
        <v>0.4</v>
      </c>
      <c r="F20" s="25"/>
      <c r="G20" s="25"/>
      <c r="H20" s="25"/>
      <c r="I20" s="25"/>
      <c r="J20" s="25"/>
      <c r="K20" s="25"/>
      <c r="L20" s="25"/>
      <c r="M20" s="25"/>
      <c r="N20" s="25"/>
      <c r="O20" s="26"/>
    </row>
    <row r="21" spans="1:15" ht="25.5" x14ac:dyDescent="0.2">
      <c r="A21" s="143"/>
      <c r="B21" s="25"/>
      <c r="C21" s="22" t="s">
        <v>139</v>
      </c>
      <c r="D21" s="28" t="s">
        <v>98</v>
      </c>
      <c r="E21" s="30"/>
      <c r="F21" s="33">
        <v>0.4</v>
      </c>
      <c r="G21" s="33">
        <v>0.3</v>
      </c>
      <c r="H21" s="33">
        <v>0.3</v>
      </c>
      <c r="I21" s="30">
        <v>0.3</v>
      </c>
      <c r="J21" s="30">
        <v>0.3</v>
      </c>
      <c r="K21" s="30">
        <v>0.3</v>
      </c>
      <c r="L21" s="30">
        <v>0.3</v>
      </c>
      <c r="M21" s="30">
        <v>0.3</v>
      </c>
      <c r="N21" s="30">
        <v>0.3</v>
      </c>
      <c r="O21" s="124">
        <v>0.3</v>
      </c>
    </row>
    <row r="22" spans="1:15" ht="25.5" x14ac:dyDescent="0.2">
      <c r="A22" s="143"/>
      <c r="B22" s="25"/>
      <c r="C22" s="13" t="s">
        <v>179</v>
      </c>
      <c r="D22" s="28" t="s">
        <v>98</v>
      </c>
      <c r="E22" s="30" t="e">
        <f>'PL1-Dữ liệu'!#REF!</f>
        <v>#REF!</v>
      </c>
      <c r="F22" s="25"/>
      <c r="G22" s="25"/>
      <c r="H22" s="25"/>
      <c r="I22" s="25"/>
      <c r="J22" s="25"/>
      <c r="K22" s="25"/>
      <c r="L22" s="25"/>
      <c r="M22" s="25"/>
      <c r="N22" s="25"/>
      <c r="O22" s="26"/>
    </row>
    <row r="23" spans="1:15" ht="30" customHeight="1" thickBot="1" x14ac:dyDescent="0.3">
      <c r="A23" s="142" t="s">
        <v>111</v>
      </c>
      <c r="B23" s="413" t="s">
        <v>148</v>
      </c>
      <c r="C23" s="413"/>
      <c r="D23" s="80" t="s">
        <v>99</v>
      </c>
      <c r="E23" s="101">
        <v>0</v>
      </c>
      <c r="F23" s="101">
        <v>0</v>
      </c>
      <c r="G23" s="101">
        <v>0</v>
      </c>
      <c r="H23" s="101">
        <v>0</v>
      </c>
      <c r="I23" s="101">
        <v>0</v>
      </c>
      <c r="J23" s="101">
        <v>0</v>
      </c>
      <c r="K23" s="101">
        <v>0</v>
      </c>
      <c r="L23" s="101">
        <v>0</v>
      </c>
      <c r="M23" s="101">
        <v>0</v>
      </c>
      <c r="N23" s="101">
        <v>0</v>
      </c>
      <c r="O23" s="102">
        <v>0</v>
      </c>
    </row>
    <row r="24" spans="1:15" ht="30" customHeight="1" thickTop="1" x14ac:dyDescent="0.2">
      <c r="A24" s="62" t="s">
        <v>111</v>
      </c>
      <c r="B24" s="414" t="s">
        <v>149</v>
      </c>
      <c r="C24" s="414"/>
      <c r="D24" s="63" t="s">
        <v>99</v>
      </c>
      <c r="E24" s="121" t="e">
        <f>E5</f>
        <v>#REF!</v>
      </c>
      <c r="F24" s="121" t="e">
        <f>F5</f>
        <v>#REF!</v>
      </c>
      <c r="G24" s="121" t="e">
        <f t="shared" ref="G24:O24" si="0">G5</f>
        <v>#REF!</v>
      </c>
      <c r="H24" s="121" t="e">
        <f t="shared" si="0"/>
        <v>#REF!</v>
      </c>
      <c r="I24" s="121" t="e">
        <f t="shared" si="0"/>
        <v>#REF!</v>
      </c>
      <c r="J24" s="121" t="e">
        <f t="shared" si="0"/>
        <v>#REF!</v>
      </c>
      <c r="K24" s="121" t="e">
        <f t="shared" si="0"/>
        <v>#REF!</v>
      </c>
      <c r="L24" s="121" t="e">
        <f t="shared" si="0"/>
        <v>#REF!</v>
      </c>
      <c r="M24" s="121" t="e">
        <f t="shared" si="0"/>
        <v>#REF!</v>
      </c>
      <c r="N24" s="121" t="e">
        <f t="shared" si="0"/>
        <v>#REF!</v>
      </c>
      <c r="O24" s="122" t="e">
        <f t="shared" si="0"/>
        <v>#REF!</v>
      </c>
    </row>
    <row r="25" spans="1:15" ht="30" customHeight="1" x14ac:dyDescent="0.2">
      <c r="A25" s="16" t="s">
        <v>111</v>
      </c>
      <c r="B25" s="417" t="s">
        <v>150</v>
      </c>
      <c r="C25" s="417"/>
      <c r="D25" s="45" t="s">
        <v>99</v>
      </c>
      <c r="E25" s="64">
        <f>E23</f>
        <v>0</v>
      </c>
      <c r="F25" s="64">
        <f t="shared" ref="F25:O25" si="1">F23</f>
        <v>0</v>
      </c>
      <c r="G25" s="64">
        <f t="shared" si="1"/>
        <v>0</v>
      </c>
      <c r="H25" s="64">
        <f t="shared" si="1"/>
        <v>0</v>
      </c>
      <c r="I25" s="64">
        <f t="shared" si="1"/>
        <v>0</v>
      </c>
      <c r="J25" s="64">
        <f t="shared" si="1"/>
        <v>0</v>
      </c>
      <c r="K25" s="64">
        <f t="shared" si="1"/>
        <v>0</v>
      </c>
      <c r="L25" s="64">
        <f t="shared" si="1"/>
        <v>0</v>
      </c>
      <c r="M25" s="64">
        <f t="shared" si="1"/>
        <v>0</v>
      </c>
      <c r="N25" s="64">
        <f t="shared" si="1"/>
        <v>0</v>
      </c>
      <c r="O25" s="65">
        <f t="shared" si="1"/>
        <v>0</v>
      </c>
    </row>
    <row r="26" spans="1:15" ht="30" customHeight="1" x14ac:dyDescent="0.2">
      <c r="A26" s="16" t="s">
        <v>111</v>
      </c>
      <c r="B26" s="417" t="s">
        <v>151</v>
      </c>
      <c r="C26" s="417"/>
      <c r="D26" s="45" t="s">
        <v>99</v>
      </c>
      <c r="E26" s="64" t="e">
        <f>E25-E24</f>
        <v>#REF!</v>
      </c>
      <c r="F26" s="64" t="e">
        <f t="shared" ref="F26:O26" si="2">F25-F24</f>
        <v>#REF!</v>
      </c>
      <c r="G26" s="64" t="e">
        <f t="shared" si="2"/>
        <v>#REF!</v>
      </c>
      <c r="H26" s="64" t="e">
        <f t="shared" si="2"/>
        <v>#REF!</v>
      </c>
      <c r="I26" s="64" t="e">
        <f t="shared" si="2"/>
        <v>#REF!</v>
      </c>
      <c r="J26" s="64" t="e">
        <f t="shared" si="2"/>
        <v>#REF!</v>
      </c>
      <c r="K26" s="64" t="e">
        <f t="shared" si="2"/>
        <v>#REF!</v>
      </c>
      <c r="L26" s="64" t="e">
        <f t="shared" si="2"/>
        <v>#REF!</v>
      </c>
      <c r="M26" s="64" t="e">
        <f t="shared" si="2"/>
        <v>#REF!</v>
      </c>
      <c r="N26" s="64" t="e">
        <f t="shared" si="2"/>
        <v>#REF!</v>
      </c>
      <c r="O26" s="65" t="e">
        <f t="shared" si="2"/>
        <v>#REF!</v>
      </c>
    </row>
    <row r="27" spans="1:15" ht="30" customHeight="1" x14ac:dyDescent="0.2">
      <c r="A27" s="37" t="s">
        <v>111</v>
      </c>
      <c r="B27" s="110"/>
      <c r="C27" s="111" t="s">
        <v>152</v>
      </c>
      <c r="D27" s="112" t="s">
        <v>99</v>
      </c>
      <c r="E27" s="113" t="e">
        <f>E23-E5</f>
        <v>#REF!</v>
      </c>
      <c r="F27" s="113" t="e">
        <f t="shared" ref="F27:O27" si="3">F23-F5</f>
        <v>#REF!</v>
      </c>
      <c r="G27" s="113" t="e">
        <f t="shared" si="3"/>
        <v>#REF!</v>
      </c>
      <c r="H27" s="113" t="e">
        <f t="shared" si="3"/>
        <v>#REF!</v>
      </c>
      <c r="I27" s="113" t="e">
        <f t="shared" si="3"/>
        <v>#REF!</v>
      </c>
      <c r="J27" s="113" t="e">
        <f t="shared" si="3"/>
        <v>#REF!</v>
      </c>
      <c r="K27" s="113" t="e">
        <f t="shared" si="3"/>
        <v>#REF!</v>
      </c>
      <c r="L27" s="113" t="e">
        <f t="shared" si="3"/>
        <v>#REF!</v>
      </c>
      <c r="M27" s="113" t="e">
        <f t="shared" si="3"/>
        <v>#REF!</v>
      </c>
      <c r="N27" s="113" t="e">
        <f t="shared" si="3"/>
        <v>#REF!</v>
      </c>
      <c r="O27" s="114" t="e">
        <f t="shared" si="3"/>
        <v>#REF!</v>
      </c>
    </row>
    <row r="28" spans="1:15" ht="30" customHeight="1" thickBot="1" x14ac:dyDescent="0.25">
      <c r="A28" s="61" t="s">
        <v>111</v>
      </c>
      <c r="B28" s="115"/>
      <c r="C28" s="116" t="s">
        <v>153</v>
      </c>
      <c r="D28" s="117" t="s">
        <v>99</v>
      </c>
      <c r="E28" s="118">
        <v>0</v>
      </c>
      <c r="F28" s="118">
        <v>0</v>
      </c>
      <c r="G28" s="118">
        <v>0</v>
      </c>
      <c r="H28" s="118">
        <v>0</v>
      </c>
      <c r="I28" s="118">
        <v>0</v>
      </c>
      <c r="J28" s="118">
        <v>0</v>
      </c>
      <c r="K28" s="118">
        <v>0</v>
      </c>
      <c r="L28" s="118">
        <v>0</v>
      </c>
      <c r="M28" s="118">
        <v>0</v>
      </c>
      <c r="N28" s="118">
        <v>0</v>
      </c>
      <c r="O28" s="119">
        <v>0</v>
      </c>
    </row>
    <row r="29" spans="1:15" ht="30" customHeight="1" x14ac:dyDescent="0.2">
      <c r="A29" s="103" t="s">
        <v>117</v>
      </c>
      <c r="B29" s="405" t="s">
        <v>175</v>
      </c>
      <c r="C29" s="405"/>
      <c r="D29" s="104"/>
      <c r="E29" s="105"/>
      <c r="F29" s="105"/>
      <c r="G29" s="105"/>
      <c r="H29" s="105"/>
      <c r="I29" s="105"/>
      <c r="J29" s="105"/>
      <c r="K29" s="105"/>
      <c r="L29" s="105"/>
      <c r="M29" s="105"/>
      <c r="N29" s="105"/>
      <c r="O29" s="106"/>
    </row>
    <row r="30" spans="1:15" ht="30" customHeight="1" x14ac:dyDescent="0.25">
      <c r="A30" s="51" t="s">
        <v>117</v>
      </c>
      <c r="B30" s="406" t="s">
        <v>154</v>
      </c>
      <c r="C30" s="406"/>
      <c r="D30" s="25"/>
      <c r="E30" s="25"/>
      <c r="F30" s="25"/>
      <c r="G30" s="25"/>
      <c r="H30" s="25"/>
      <c r="I30" s="25"/>
      <c r="J30" s="25"/>
      <c r="K30" s="25"/>
      <c r="L30" s="25"/>
      <c r="M30" s="25"/>
      <c r="N30" s="25"/>
      <c r="O30" s="26"/>
    </row>
    <row r="31" spans="1:15" ht="30" customHeight="1" x14ac:dyDescent="0.2">
      <c r="A31" s="50" t="s">
        <v>117</v>
      </c>
      <c r="B31" s="407" t="s">
        <v>112</v>
      </c>
      <c r="C31" s="407"/>
      <c r="D31" s="39" t="s">
        <v>99</v>
      </c>
      <c r="E31" s="38" t="e">
        <f>SUM(F31:O31)</f>
        <v>#REF!</v>
      </c>
      <c r="F31" s="38" t="e">
        <f>($E$32*$E$35+$E$33+E34*E35)/1000</f>
        <v>#REF!</v>
      </c>
      <c r="G31" s="38" t="e">
        <f>($E$32*$E$35+$E$33)*(1+'PL1-Dữ liệu'!#REF!)/1000</f>
        <v>#REF!</v>
      </c>
      <c r="H31" s="38" t="e">
        <f>G31*(1+'PL1-Dữ liệu'!#REF!)</f>
        <v>#REF!</v>
      </c>
      <c r="I31" s="38" t="e">
        <f>H31*(1+'PL1-Dữ liệu'!#REF!)</f>
        <v>#REF!</v>
      </c>
      <c r="J31" s="38" t="e">
        <f>I31*(1+'PL1-Dữ liệu'!#REF!)</f>
        <v>#REF!</v>
      </c>
      <c r="K31" s="38" t="e">
        <f>J31*(1+'PL1-Dữ liệu'!#REF!)</f>
        <v>#REF!</v>
      </c>
      <c r="L31" s="38" t="e">
        <f>K31*(1+'PL1-Dữ liệu'!#REF!)</f>
        <v>#REF!</v>
      </c>
      <c r="M31" s="38" t="e">
        <f>L31*(1+'PL1-Dữ liệu'!#REF!)</f>
        <v>#REF!</v>
      </c>
      <c r="N31" s="38" t="e">
        <f>M31*(1+'PL1-Dữ liệu'!#REF!)</f>
        <v>#REF!</v>
      </c>
      <c r="O31" s="90" t="e">
        <f>N31*(1+'PL1-Dữ liệu'!#REF!)</f>
        <v>#REF!</v>
      </c>
    </row>
    <row r="32" spans="1:15" ht="25.5" x14ac:dyDescent="0.2">
      <c r="A32" s="131"/>
      <c r="B32" s="25"/>
      <c r="C32" s="35" t="s">
        <v>115</v>
      </c>
      <c r="D32" s="98" t="s">
        <v>92</v>
      </c>
      <c r="E32" s="125" t="e">
        <f>'PL1-Dữ liệu'!#REF!</f>
        <v>#REF!</v>
      </c>
      <c r="F32" s="25"/>
      <c r="G32" s="38"/>
      <c r="H32" s="25"/>
      <c r="I32" s="25"/>
      <c r="J32" s="25"/>
      <c r="K32" s="25"/>
      <c r="L32" s="25"/>
      <c r="M32" s="25"/>
      <c r="N32" s="25"/>
      <c r="O32" s="26"/>
    </row>
    <row r="33" spans="1:15" ht="25.5" x14ac:dyDescent="0.2">
      <c r="A33" s="131"/>
      <c r="B33" s="25"/>
      <c r="C33" s="35" t="s">
        <v>116</v>
      </c>
      <c r="D33" s="98" t="s">
        <v>92</v>
      </c>
      <c r="E33" s="125" t="e">
        <f>'PL1-Dữ liệu'!#REF!</f>
        <v>#REF!</v>
      </c>
      <c r="F33" s="25"/>
      <c r="G33" s="25"/>
      <c r="H33" s="25"/>
      <c r="I33" s="25"/>
      <c r="J33" s="25"/>
      <c r="K33" s="25"/>
      <c r="L33" s="25"/>
      <c r="M33" s="25"/>
      <c r="N33" s="25"/>
      <c r="O33" s="26"/>
    </row>
    <row r="34" spans="1:15" ht="25.5" x14ac:dyDescent="0.2">
      <c r="A34" s="131"/>
      <c r="B34" s="25"/>
      <c r="C34" s="35" t="s">
        <v>113</v>
      </c>
      <c r="D34" s="98" t="s">
        <v>92</v>
      </c>
      <c r="E34" s="125" t="e">
        <f>'PL1-Dữ liệu'!#REF!</f>
        <v>#REF!</v>
      </c>
      <c r="F34" s="25"/>
      <c r="G34" s="25"/>
      <c r="H34" s="25"/>
      <c r="I34" s="25"/>
      <c r="J34" s="25"/>
      <c r="K34" s="25"/>
      <c r="L34" s="25"/>
      <c r="M34" s="25"/>
      <c r="N34" s="25"/>
      <c r="O34" s="26"/>
    </row>
    <row r="35" spans="1:15" ht="25.5" x14ac:dyDescent="0.2">
      <c r="A35" s="131"/>
      <c r="B35" s="25"/>
      <c r="C35" s="35" t="s">
        <v>114</v>
      </c>
      <c r="D35" s="36" t="s">
        <v>102</v>
      </c>
      <c r="E35" s="34">
        <v>20</v>
      </c>
      <c r="F35" s="25"/>
      <c r="G35" s="25"/>
      <c r="H35" s="25"/>
      <c r="I35" s="25"/>
      <c r="J35" s="25"/>
      <c r="K35" s="25"/>
      <c r="L35" s="25"/>
      <c r="M35" s="25"/>
      <c r="N35" s="25"/>
      <c r="O35" s="26"/>
    </row>
    <row r="36" spans="1:15" ht="27.75" customHeight="1" x14ac:dyDescent="0.2">
      <c r="A36" s="50" t="s">
        <v>117</v>
      </c>
      <c r="B36" s="407" t="s">
        <v>177</v>
      </c>
      <c r="C36" s="407"/>
      <c r="D36" s="25"/>
      <c r="E36" s="38" t="e">
        <f>SUM(F36:O36)</f>
        <v>#REF!</v>
      </c>
      <c r="F36" s="38" t="e">
        <f>E37*E38*E39/1000</f>
        <v>#REF!</v>
      </c>
      <c r="G36" s="88" t="e">
        <f>F36*(1+'PL1-Dữ liệu'!#REF!)</f>
        <v>#REF!</v>
      </c>
      <c r="H36" s="88" t="e">
        <f>G36*(1+'PL1-Dữ liệu'!#REF!)</f>
        <v>#REF!</v>
      </c>
      <c r="I36" s="88" t="e">
        <f>H36*(1+'PL1-Dữ liệu'!#REF!)</f>
        <v>#REF!</v>
      </c>
      <c r="J36" s="88" t="e">
        <f>I36*(1+'PL1-Dữ liệu'!#REF!)</f>
        <v>#REF!</v>
      </c>
      <c r="K36" s="88" t="e">
        <f>J36*(1+'PL1-Dữ liệu'!#REF!)</f>
        <v>#REF!</v>
      </c>
      <c r="L36" s="88" t="e">
        <f>K36*(1+'PL1-Dữ liệu'!#REF!)</f>
        <v>#REF!</v>
      </c>
      <c r="M36" s="88" t="e">
        <f>L36*(1+'PL1-Dữ liệu'!#REF!)</f>
        <v>#REF!</v>
      </c>
      <c r="N36" s="88" t="e">
        <f>M36*(1+'PL1-Dữ liệu'!#REF!)</f>
        <v>#REF!</v>
      </c>
      <c r="O36" s="89" t="e">
        <f>N36*(1+'PL1-Dữ liệu'!#REF!)</f>
        <v>#REF!</v>
      </c>
    </row>
    <row r="37" spans="1:15" ht="25.5" x14ac:dyDescent="0.2">
      <c r="A37" s="131"/>
      <c r="B37" s="85"/>
      <c r="C37" s="22" t="s">
        <v>135</v>
      </c>
      <c r="D37" s="23" t="s">
        <v>100</v>
      </c>
      <c r="E37" s="24" t="e">
        <f>'PL1-Dữ liệu'!#REF!</f>
        <v>#REF!</v>
      </c>
      <c r="F37" s="25"/>
      <c r="G37" s="25"/>
      <c r="H37" s="25"/>
      <c r="I37" s="25"/>
      <c r="J37" s="25"/>
      <c r="K37" s="25"/>
      <c r="L37" s="25"/>
      <c r="M37" s="25"/>
      <c r="N37" s="25"/>
      <c r="O37" s="26"/>
    </row>
    <row r="38" spans="1:15" ht="27" customHeight="1" x14ac:dyDescent="0.2">
      <c r="A38" s="131"/>
      <c r="B38" s="85"/>
      <c r="C38" s="13" t="s">
        <v>108</v>
      </c>
      <c r="D38" s="28" t="s">
        <v>92</v>
      </c>
      <c r="E38" s="29">
        <v>9000000</v>
      </c>
      <c r="F38" s="25"/>
      <c r="G38" s="25"/>
      <c r="H38" s="25"/>
      <c r="I38" s="25"/>
      <c r="J38" s="25"/>
      <c r="K38" s="25"/>
      <c r="L38" s="25"/>
      <c r="M38" s="25"/>
      <c r="N38" s="25"/>
      <c r="O38" s="26"/>
    </row>
    <row r="39" spans="1:15" ht="30.75" customHeight="1" x14ac:dyDescent="0.2">
      <c r="A39" s="131"/>
      <c r="B39" s="25"/>
      <c r="C39" s="97" t="s">
        <v>107</v>
      </c>
      <c r="D39" s="28" t="s">
        <v>98</v>
      </c>
      <c r="E39" s="30" t="e">
        <f>'PL1-Dữ liệu'!#REF!</f>
        <v>#REF!</v>
      </c>
      <c r="F39" s="25"/>
      <c r="G39" s="25"/>
      <c r="H39" s="25"/>
      <c r="I39" s="25"/>
      <c r="J39" s="25"/>
      <c r="K39" s="25"/>
      <c r="L39" s="25"/>
      <c r="M39" s="25"/>
      <c r="N39" s="25"/>
      <c r="O39" s="26"/>
    </row>
    <row r="40" spans="1:15" ht="28.5" customHeight="1" x14ac:dyDescent="0.25">
      <c r="A40" s="51" t="s">
        <v>117</v>
      </c>
      <c r="B40" s="408" t="s">
        <v>155</v>
      </c>
      <c r="C40" s="408"/>
      <c r="D40" s="25"/>
      <c r="E40" s="25"/>
      <c r="F40" s="25"/>
      <c r="G40" s="25"/>
      <c r="H40" s="25"/>
      <c r="I40" s="25"/>
      <c r="J40" s="25"/>
      <c r="K40" s="25"/>
      <c r="L40" s="25"/>
      <c r="M40" s="25"/>
      <c r="N40" s="25"/>
      <c r="O40" s="26"/>
    </row>
    <row r="41" spans="1:15" ht="27.75" customHeight="1" x14ac:dyDescent="0.2">
      <c r="A41" s="50" t="s">
        <v>117</v>
      </c>
      <c r="B41" s="407" t="s">
        <v>106</v>
      </c>
      <c r="C41" s="407"/>
      <c r="D41" s="39" t="s">
        <v>99</v>
      </c>
      <c r="E41" s="38" t="e">
        <f>SUM(F41:O41)</f>
        <v>#REF!</v>
      </c>
      <c r="F41" s="38" t="e">
        <f>E42*E43*E45*E46*1000000</f>
        <v>#REF!</v>
      </c>
      <c r="G41" s="88" t="e">
        <f>F41*(1+$E$44)</f>
        <v>#REF!</v>
      </c>
      <c r="H41" s="88" t="e">
        <f t="shared" ref="H41:O41" si="4">G41*(1+$E$44)</f>
        <v>#REF!</v>
      </c>
      <c r="I41" s="88" t="e">
        <f t="shared" si="4"/>
        <v>#REF!</v>
      </c>
      <c r="J41" s="88" t="e">
        <f t="shared" si="4"/>
        <v>#REF!</v>
      </c>
      <c r="K41" s="88" t="e">
        <f t="shared" si="4"/>
        <v>#REF!</v>
      </c>
      <c r="L41" s="88" t="e">
        <f t="shared" si="4"/>
        <v>#REF!</v>
      </c>
      <c r="M41" s="88" t="e">
        <f t="shared" si="4"/>
        <v>#REF!</v>
      </c>
      <c r="N41" s="88" t="e">
        <f t="shared" si="4"/>
        <v>#REF!</v>
      </c>
      <c r="O41" s="89" t="e">
        <f t="shared" si="4"/>
        <v>#REF!</v>
      </c>
    </row>
    <row r="42" spans="1:15" ht="25.5" customHeight="1" x14ac:dyDescent="0.2">
      <c r="A42" s="131"/>
      <c r="B42" s="25"/>
      <c r="C42" s="25" t="s">
        <v>103</v>
      </c>
      <c r="D42" s="23" t="s">
        <v>178</v>
      </c>
      <c r="E42" s="86" t="e">
        <f>'PL1-Dữ liệu'!#REF!</f>
        <v>#REF!</v>
      </c>
      <c r="F42" s="99"/>
      <c r="G42" s="99"/>
      <c r="H42" s="25"/>
      <c r="I42" s="25"/>
      <c r="J42" s="25"/>
      <c r="K42" s="25"/>
      <c r="L42" s="25"/>
      <c r="M42" s="25"/>
      <c r="N42" s="25"/>
      <c r="O42" s="26"/>
    </row>
    <row r="43" spans="1:15" ht="25.5" x14ac:dyDescent="0.2">
      <c r="A43" s="131"/>
      <c r="B43" s="25"/>
      <c r="C43" s="13" t="s">
        <v>104</v>
      </c>
      <c r="D43" s="28" t="s">
        <v>98</v>
      </c>
      <c r="E43" s="30" t="e">
        <f>'PL1-Dữ liệu'!#REF!</f>
        <v>#REF!</v>
      </c>
      <c r="F43" s="99"/>
      <c r="G43" s="99"/>
      <c r="H43" s="25"/>
      <c r="I43" s="25"/>
      <c r="J43" s="25"/>
      <c r="K43" s="25"/>
      <c r="L43" s="25"/>
      <c r="M43" s="25"/>
      <c r="N43" s="25"/>
      <c r="O43" s="26"/>
    </row>
    <row r="44" spans="1:15" ht="27.75" customHeight="1" x14ac:dyDescent="0.2">
      <c r="A44" s="131"/>
      <c r="B44" s="25"/>
      <c r="C44" s="13" t="s">
        <v>105</v>
      </c>
      <c r="D44" s="28" t="s">
        <v>98</v>
      </c>
      <c r="E44" s="30" t="e">
        <f>'PL1-Dữ liệu'!#REF!</f>
        <v>#REF!</v>
      </c>
      <c r="F44" s="99"/>
      <c r="G44" s="99"/>
      <c r="H44" s="25"/>
      <c r="I44" s="25"/>
      <c r="J44" s="25"/>
      <c r="K44" s="25"/>
      <c r="L44" s="25"/>
      <c r="M44" s="25"/>
      <c r="N44" s="25"/>
      <c r="O44" s="26"/>
    </row>
    <row r="45" spans="1:15" ht="25.5" x14ac:dyDescent="0.2">
      <c r="A45" s="131"/>
      <c r="B45" s="25"/>
      <c r="C45" s="22" t="s">
        <v>121</v>
      </c>
      <c r="D45" s="28" t="s">
        <v>98</v>
      </c>
      <c r="E45" s="30" t="e">
        <f>'PL1-Dữ liệu'!#REF!</f>
        <v>#REF!</v>
      </c>
      <c r="F45" s="99"/>
      <c r="G45" s="99"/>
      <c r="H45" s="25"/>
      <c r="I45" s="25"/>
      <c r="J45" s="25"/>
      <c r="K45" s="25"/>
      <c r="L45" s="25"/>
      <c r="M45" s="25"/>
      <c r="N45" s="25"/>
      <c r="O45" s="26"/>
    </row>
    <row r="46" spans="1:15" ht="27" customHeight="1" thickBot="1" x14ac:dyDescent="0.25">
      <c r="A46" s="144"/>
      <c r="B46" s="31"/>
      <c r="C46" s="79" t="s">
        <v>180</v>
      </c>
      <c r="D46" s="32" t="s">
        <v>98</v>
      </c>
      <c r="E46" s="33" t="e">
        <f>'PL1-Dữ liệu'!#REF!*'PL1-Dữ liệu'!#REF!+'PL1-Dữ liệu'!#REF!*'PL1-Dữ liệu'!#REF!+'PL1-Dữ liệu'!#REF!*'PL1-Dữ liệu'!#REF!</f>
        <v>#REF!</v>
      </c>
      <c r="F46" s="120"/>
      <c r="G46" s="120"/>
      <c r="H46" s="31"/>
      <c r="I46" s="31"/>
      <c r="J46" s="31"/>
      <c r="K46" s="31"/>
      <c r="L46" s="31"/>
      <c r="M46" s="31"/>
      <c r="N46" s="31"/>
      <c r="O46" s="68"/>
    </row>
    <row r="47" spans="1:15" ht="28.5" customHeight="1" thickTop="1" x14ac:dyDescent="0.2">
      <c r="A47" s="49" t="s">
        <v>117</v>
      </c>
      <c r="B47" s="404" t="s">
        <v>156</v>
      </c>
      <c r="C47" s="404"/>
      <c r="D47" s="74" t="s">
        <v>99</v>
      </c>
      <c r="E47" s="126" t="e">
        <f>E31+E36</f>
        <v>#REF!</v>
      </c>
      <c r="F47" s="126" t="e">
        <f t="shared" ref="F47:K47" si="5">F31+F36</f>
        <v>#REF!</v>
      </c>
      <c r="G47" s="126" t="e">
        <f t="shared" si="5"/>
        <v>#REF!</v>
      </c>
      <c r="H47" s="126" t="e">
        <f t="shared" si="5"/>
        <v>#REF!</v>
      </c>
      <c r="I47" s="126" t="e">
        <f t="shared" si="5"/>
        <v>#REF!</v>
      </c>
      <c r="J47" s="126" t="e">
        <f t="shared" si="5"/>
        <v>#REF!</v>
      </c>
      <c r="K47" s="126" t="e">
        <f t="shared" si="5"/>
        <v>#REF!</v>
      </c>
      <c r="L47" s="126" t="e">
        <f>L31+L36</f>
        <v>#REF!</v>
      </c>
      <c r="M47" s="126" t="e">
        <f>M31+M36</f>
        <v>#REF!</v>
      </c>
      <c r="N47" s="126" t="e">
        <f>N31+N36</f>
        <v>#REF!</v>
      </c>
      <c r="O47" s="132" t="e">
        <f>O31+O36</f>
        <v>#REF!</v>
      </c>
    </row>
    <row r="48" spans="1:15" ht="28.5" customHeight="1" x14ac:dyDescent="0.2">
      <c r="A48" s="46" t="s">
        <v>117</v>
      </c>
      <c r="B48" s="409" t="s">
        <v>157</v>
      </c>
      <c r="C48" s="409"/>
      <c r="D48" s="47" t="s">
        <v>99</v>
      </c>
      <c r="E48" s="75" t="e">
        <f>E41</f>
        <v>#REF!</v>
      </c>
      <c r="F48" s="75" t="e">
        <f t="shared" ref="F48:K48" si="6">F41</f>
        <v>#REF!</v>
      </c>
      <c r="G48" s="75" t="e">
        <f t="shared" si="6"/>
        <v>#REF!</v>
      </c>
      <c r="H48" s="75" t="e">
        <f t="shared" si="6"/>
        <v>#REF!</v>
      </c>
      <c r="I48" s="75" t="e">
        <f t="shared" si="6"/>
        <v>#REF!</v>
      </c>
      <c r="J48" s="75" t="e">
        <f t="shared" si="6"/>
        <v>#REF!</v>
      </c>
      <c r="K48" s="75" t="e">
        <f t="shared" si="6"/>
        <v>#REF!</v>
      </c>
      <c r="L48" s="75" t="e">
        <f>L41</f>
        <v>#REF!</v>
      </c>
      <c r="M48" s="75" t="e">
        <f>M41</f>
        <v>#REF!</v>
      </c>
      <c r="N48" s="75" t="e">
        <f>N41</f>
        <v>#REF!</v>
      </c>
      <c r="O48" s="76" t="e">
        <f>O41</f>
        <v>#REF!</v>
      </c>
    </row>
    <row r="49" spans="1:15" ht="28.5" customHeight="1" x14ac:dyDescent="0.2">
      <c r="A49" s="46" t="s">
        <v>117</v>
      </c>
      <c r="B49" s="409" t="s">
        <v>158</v>
      </c>
      <c r="C49" s="409"/>
      <c r="D49" s="47" t="s">
        <v>99</v>
      </c>
      <c r="E49" s="75" t="e">
        <f>E48-E47</f>
        <v>#REF!</v>
      </c>
      <c r="F49" s="75" t="e">
        <f t="shared" ref="F49:K49" si="7">F48-F47</f>
        <v>#REF!</v>
      </c>
      <c r="G49" s="75" t="e">
        <f t="shared" si="7"/>
        <v>#REF!</v>
      </c>
      <c r="H49" s="75" t="e">
        <f t="shared" si="7"/>
        <v>#REF!</v>
      </c>
      <c r="I49" s="75" t="e">
        <f t="shared" si="7"/>
        <v>#REF!</v>
      </c>
      <c r="J49" s="75" t="e">
        <f t="shared" si="7"/>
        <v>#REF!</v>
      </c>
      <c r="K49" s="75" t="e">
        <f t="shared" si="7"/>
        <v>#REF!</v>
      </c>
      <c r="L49" s="75" t="e">
        <f>L48-L47</f>
        <v>#REF!</v>
      </c>
      <c r="M49" s="75" t="e">
        <f>M48-M47</f>
        <v>#REF!</v>
      </c>
      <c r="N49" s="75" t="e">
        <f>N48-N47</f>
        <v>#REF!</v>
      </c>
      <c r="O49" s="76" t="e">
        <f>O48-O47</f>
        <v>#REF!</v>
      </c>
    </row>
    <row r="50" spans="1:15" s="18" customFormat="1" ht="25.5" x14ac:dyDescent="0.2">
      <c r="A50" s="50" t="s">
        <v>117</v>
      </c>
      <c r="B50" s="128"/>
      <c r="C50" s="127" t="s">
        <v>159</v>
      </c>
      <c r="D50" s="128" t="s">
        <v>99</v>
      </c>
      <c r="E50" s="54" t="e">
        <f>E49*'PL1-Dữ liệu'!#REF!</f>
        <v>#REF!</v>
      </c>
      <c r="F50" s="54" t="e">
        <f>F49*'PL1-Dữ liệu'!#REF!</f>
        <v>#REF!</v>
      </c>
      <c r="G50" s="54" t="e">
        <f>G49*'PL1-Dữ liệu'!#REF!</f>
        <v>#REF!</v>
      </c>
      <c r="H50" s="54" t="e">
        <f>H49*'PL1-Dữ liệu'!#REF!</f>
        <v>#REF!</v>
      </c>
      <c r="I50" s="54" t="e">
        <f>I49*'PL1-Dữ liệu'!#REF!</f>
        <v>#REF!</v>
      </c>
      <c r="J50" s="54" t="e">
        <f>J49*'PL1-Dữ liệu'!#REF!</f>
        <v>#REF!</v>
      </c>
      <c r="K50" s="54" t="e">
        <f>K49*'PL1-Dữ liệu'!#REF!</f>
        <v>#REF!</v>
      </c>
      <c r="L50" s="54" t="e">
        <f>L49*'PL1-Dữ liệu'!#REF!</f>
        <v>#REF!</v>
      </c>
      <c r="M50" s="54" t="e">
        <f>M49*'PL1-Dữ liệu'!#REF!</f>
        <v>#REF!</v>
      </c>
      <c r="N50" s="54" t="e">
        <f>N49*'PL1-Dữ liệu'!#REF!</f>
        <v>#REF!</v>
      </c>
      <c r="O50" s="77" t="e">
        <f>O49*'PL1-Dữ liệu'!#REF!</f>
        <v>#REF!</v>
      </c>
    </row>
    <row r="51" spans="1:15" s="18" customFormat="1" ht="26.25" thickBot="1" x14ac:dyDescent="0.25">
      <c r="A51" s="55" t="s">
        <v>117</v>
      </c>
      <c r="B51" s="130"/>
      <c r="C51" s="129" t="s">
        <v>160</v>
      </c>
      <c r="D51" s="130" t="s">
        <v>99</v>
      </c>
      <c r="E51" s="56" t="e">
        <f>'PL1-Dữ liệu'!#REF!*'Van de 6(1)'!E49</f>
        <v>#REF!</v>
      </c>
      <c r="F51" s="56" t="e">
        <f>'PL1-Dữ liệu'!#REF!*'Van de 6(1)'!F49</f>
        <v>#REF!</v>
      </c>
      <c r="G51" s="56" t="e">
        <f>'PL1-Dữ liệu'!#REF!*'Van de 6(1)'!G49</f>
        <v>#REF!</v>
      </c>
      <c r="H51" s="56" t="e">
        <f>'PL1-Dữ liệu'!#REF!*'Van de 6(1)'!H49</f>
        <v>#REF!</v>
      </c>
      <c r="I51" s="56" t="e">
        <f>'PL1-Dữ liệu'!#REF!*'Van de 6(1)'!I49</f>
        <v>#REF!</v>
      </c>
      <c r="J51" s="56" t="e">
        <f>'PL1-Dữ liệu'!#REF!*'Van de 6(1)'!J49</f>
        <v>#REF!</v>
      </c>
      <c r="K51" s="56" t="e">
        <f>'PL1-Dữ liệu'!#REF!*'Van de 6(1)'!K49</f>
        <v>#REF!</v>
      </c>
      <c r="L51" s="56" t="e">
        <f>'PL1-Dữ liệu'!#REF!*'Van de 6(1)'!L49</f>
        <v>#REF!</v>
      </c>
      <c r="M51" s="56" t="e">
        <f>'PL1-Dữ liệu'!#REF!*'Van de 6(1)'!M49</f>
        <v>#REF!</v>
      </c>
      <c r="N51" s="56" t="e">
        <f>'PL1-Dữ liệu'!#REF!*'Van de 6(1)'!N49</f>
        <v>#REF!</v>
      </c>
      <c r="O51" s="78" t="e">
        <f>'PL1-Dữ liệu'!#REF!*'Van de 6(1)'!O49</f>
        <v>#REF!</v>
      </c>
    </row>
    <row r="52" spans="1:15" ht="30" customHeight="1" x14ac:dyDescent="0.2">
      <c r="A52" s="147" t="s">
        <v>118</v>
      </c>
      <c r="B52" s="410" t="s">
        <v>176</v>
      </c>
      <c r="C52" s="410"/>
      <c r="D52" s="148"/>
      <c r="E52" s="149"/>
      <c r="F52" s="149"/>
      <c r="G52" s="149"/>
      <c r="H52" s="149"/>
      <c r="I52" s="149"/>
      <c r="J52" s="149"/>
      <c r="K52" s="149"/>
      <c r="L52" s="149"/>
      <c r="M52" s="149"/>
      <c r="N52" s="149"/>
      <c r="O52" s="150"/>
    </row>
    <row r="53" spans="1:15" ht="30" customHeight="1" x14ac:dyDescent="0.25">
      <c r="A53" s="163" t="s">
        <v>118</v>
      </c>
      <c r="B53" s="406" t="s">
        <v>161</v>
      </c>
      <c r="C53" s="406"/>
      <c r="D53" s="25"/>
      <c r="E53" s="25"/>
      <c r="F53" s="25"/>
      <c r="G53" s="25"/>
      <c r="H53" s="25"/>
      <c r="I53" s="25"/>
      <c r="J53" s="25"/>
      <c r="K53" s="25"/>
      <c r="L53" s="25"/>
      <c r="M53" s="25"/>
      <c r="N53" s="25"/>
      <c r="O53" s="26"/>
    </row>
    <row r="54" spans="1:15" ht="30" customHeight="1" x14ac:dyDescent="0.2">
      <c r="A54" s="170"/>
      <c r="B54" s="407" t="s">
        <v>112</v>
      </c>
      <c r="C54" s="407"/>
      <c r="D54" s="39" t="s">
        <v>99</v>
      </c>
      <c r="E54" s="38" t="e">
        <f>SUM(F54:O54)</f>
        <v>#REF!</v>
      </c>
      <c r="F54" s="38" t="e">
        <f>((E55+E57)*E58+E56)/1000</f>
        <v>#REF!</v>
      </c>
      <c r="G54" s="38" t="e">
        <f>(E55*E58+E56)*(1+'PL1-Dữ liệu'!#REF!)/1000</f>
        <v>#REF!</v>
      </c>
      <c r="H54" s="38" t="e">
        <f>G54*(1+'PL1-Dữ liệu'!#REF!)</f>
        <v>#REF!</v>
      </c>
      <c r="I54" s="38" t="e">
        <f>H54*(1+'PL1-Dữ liệu'!#REF!)</f>
        <v>#REF!</v>
      </c>
      <c r="J54" s="38" t="e">
        <f>I54*(1+'PL1-Dữ liệu'!#REF!)</f>
        <v>#REF!</v>
      </c>
      <c r="K54" s="38" t="e">
        <f>J54*(1+'PL1-Dữ liệu'!#REF!)</f>
        <v>#REF!</v>
      </c>
      <c r="L54" s="38" t="e">
        <f>K54*(1+'PL1-Dữ liệu'!#REF!)</f>
        <v>#REF!</v>
      </c>
      <c r="M54" s="38" t="e">
        <f>L54*(1+'PL1-Dữ liệu'!#REF!)</f>
        <v>#REF!</v>
      </c>
      <c r="N54" s="38" t="e">
        <f>M54*(1+'PL1-Dữ liệu'!#REF!)</f>
        <v>#REF!</v>
      </c>
      <c r="O54" s="90" t="e">
        <f>N54*(1+'PL1-Dữ liệu'!#REF!)</f>
        <v>#REF!</v>
      </c>
    </row>
    <row r="55" spans="1:15" ht="25.5" x14ac:dyDescent="0.2">
      <c r="A55" s="170"/>
      <c r="B55" s="25"/>
      <c r="C55" s="35" t="s">
        <v>115</v>
      </c>
      <c r="D55" s="98" t="s">
        <v>92</v>
      </c>
      <c r="E55" s="125" t="e">
        <f>'PL1-Dữ liệu'!#REF!</f>
        <v>#REF!</v>
      </c>
      <c r="F55" s="25"/>
      <c r="G55" s="25"/>
      <c r="H55" s="25"/>
      <c r="I55" s="25"/>
      <c r="J55" s="25"/>
      <c r="K55" s="25"/>
      <c r="L55" s="25"/>
      <c r="M55" s="25"/>
      <c r="N55" s="25"/>
      <c r="O55" s="26"/>
    </row>
    <row r="56" spans="1:15" ht="25.5" x14ac:dyDescent="0.2">
      <c r="A56" s="170"/>
      <c r="B56" s="25"/>
      <c r="C56" s="35" t="s">
        <v>116</v>
      </c>
      <c r="D56" s="98" t="s">
        <v>92</v>
      </c>
      <c r="E56" s="125" t="e">
        <f>'PL1-Dữ liệu'!#REF!</f>
        <v>#REF!</v>
      </c>
      <c r="F56" s="25"/>
      <c r="G56" s="25"/>
      <c r="H56" s="25"/>
      <c r="I56" s="25"/>
      <c r="J56" s="25"/>
      <c r="K56" s="25"/>
      <c r="L56" s="25"/>
      <c r="M56" s="25"/>
      <c r="N56" s="25"/>
      <c r="O56" s="26"/>
    </row>
    <row r="57" spans="1:15" ht="25.5" x14ac:dyDescent="0.2">
      <c r="A57" s="170"/>
      <c r="B57" s="25"/>
      <c r="C57" s="35" t="s">
        <v>113</v>
      </c>
      <c r="D57" s="98" t="s">
        <v>92</v>
      </c>
      <c r="E57" s="125" t="e">
        <f>'PL1-Dữ liệu'!#REF!</f>
        <v>#REF!</v>
      </c>
      <c r="F57" s="25"/>
      <c r="G57" s="25"/>
      <c r="H57" s="25"/>
      <c r="I57" s="25"/>
      <c r="J57" s="25"/>
      <c r="K57" s="25"/>
      <c r="L57" s="25"/>
      <c r="M57" s="25"/>
      <c r="N57" s="25"/>
      <c r="O57" s="26"/>
    </row>
    <row r="58" spans="1:15" ht="25.5" x14ac:dyDescent="0.2">
      <c r="A58" s="170"/>
      <c r="B58" s="25"/>
      <c r="C58" s="35" t="s">
        <v>114</v>
      </c>
      <c r="D58" s="36" t="s">
        <v>102</v>
      </c>
      <c r="E58" s="34">
        <v>25</v>
      </c>
      <c r="F58" s="25"/>
      <c r="G58" s="25"/>
      <c r="H58" s="25"/>
      <c r="I58" s="25"/>
      <c r="J58" s="25"/>
      <c r="K58" s="25"/>
      <c r="L58" s="25"/>
      <c r="M58" s="25"/>
      <c r="N58" s="25"/>
      <c r="O58" s="26"/>
    </row>
    <row r="59" spans="1:15" ht="28.5" customHeight="1" x14ac:dyDescent="0.25">
      <c r="A59" s="163" t="s">
        <v>118</v>
      </c>
      <c r="B59" s="408" t="s">
        <v>162</v>
      </c>
      <c r="C59" s="408"/>
      <c r="D59" s="25"/>
      <c r="E59" s="25"/>
      <c r="F59" s="25"/>
      <c r="G59" s="25"/>
      <c r="H59" s="25"/>
      <c r="I59" s="25"/>
      <c r="J59" s="25"/>
      <c r="K59" s="25"/>
      <c r="L59" s="25"/>
      <c r="M59" s="25"/>
      <c r="N59" s="25"/>
      <c r="O59" s="26"/>
    </row>
    <row r="60" spans="1:15" ht="28.5" customHeight="1" x14ac:dyDescent="0.2">
      <c r="A60" s="152" t="s">
        <v>118</v>
      </c>
      <c r="B60" s="407" t="s">
        <v>106</v>
      </c>
      <c r="C60" s="407"/>
      <c r="D60" s="39" t="s">
        <v>99</v>
      </c>
      <c r="E60" s="38" t="e">
        <f>SUM(F60:O60)</f>
        <v>#REF!</v>
      </c>
      <c r="F60" s="38" t="e">
        <f>E61*E62*E64*E65*1000000</f>
        <v>#REF!</v>
      </c>
      <c r="G60" s="88" t="e">
        <f>F60*(1+$E$63)</f>
        <v>#REF!</v>
      </c>
      <c r="H60" s="88" t="e">
        <f t="shared" ref="H60:O60" si="8">G60*(1+$E$63)</f>
        <v>#REF!</v>
      </c>
      <c r="I60" s="88" t="e">
        <f t="shared" si="8"/>
        <v>#REF!</v>
      </c>
      <c r="J60" s="88" t="e">
        <f t="shared" si="8"/>
        <v>#REF!</v>
      </c>
      <c r="K60" s="88" t="e">
        <f t="shared" si="8"/>
        <v>#REF!</v>
      </c>
      <c r="L60" s="88" t="e">
        <f t="shared" si="8"/>
        <v>#REF!</v>
      </c>
      <c r="M60" s="88" t="e">
        <f t="shared" si="8"/>
        <v>#REF!</v>
      </c>
      <c r="N60" s="88" t="e">
        <f t="shared" si="8"/>
        <v>#REF!</v>
      </c>
      <c r="O60" s="89" t="e">
        <f t="shared" si="8"/>
        <v>#REF!</v>
      </c>
    </row>
    <row r="61" spans="1:15" ht="25.5" customHeight="1" x14ac:dyDescent="0.2">
      <c r="A61" s="170"/>
      <c r="B61" s="25"/>
      <c r="C61" s="25" t="s">
        <v>103</v>
      </c>
      <c r="D61" s="23" t="s">
        <v>178</v>
      </c>
      <c r="E61" s="86" t="e">
        <f>'PL1-Dữ liệu'!#REF!</f>
        <v>#REF!</v>
      </c>
      <c r="F61" s="99"/>
      <c r="G61" s="99"/>
      <c r="H61" s="25"/>
      <c r="I61" s="25"/>
      <c r="J61" s="25"/>
      <c r="K61" s="25"/>
      <c r="L61" s="25"/>
      <c r="M61" s="25"/>
      <c r="N61" s="25"/>
      <c r="O61" s="26"/>
    </row>
    <row r="62" spans="1:15" ht="25.5" x14ac:dyDescent="0.2">
      <c r="A62" s="170"/>
      <c r="B62" s="25"/>
      <c r="C62" s="13" t="s">
        <v>104</v>
      </c>
      <c r="D62" s="28" t="s">
        <v>98</v>
      </c>
      <c r="E62" s="30" t="e">
        <f>'PL1-Dữ liệu'!#REF!</f>
        <v>#REF!</v>
      </c>
      <c r="F62" s="99"/>
      <c r="G62" s="99"/>
      <c r="H62" s="25"/>
      <c r="I62" s="25"/>
      <c r="J62" s="25"/>
      <c r="K62" s="25"/>
      <c r="L62" s="25"/>
      <c r="M62" s="25"/>
      <c r="N62" s="25"/>
      <c r="O62" s="26"/>
    </row>
    <row r="63" spans="1:15" ht="25.5" x14ac:dyDescent="0.2">
      <c r="A63" s="170"/>
      <c r="B63" s="25"/>
      <c r="C63" s="13" t="s">
        <v>105</v>
      </c>
      <c r="D63" s="28" t="s">
        <v>98</v>
      </c>
      <c r="E63" s="30" t="e">
        <f>'PL1-Dữ liệu'!#REF!</f>
        <v>#REF!</v>
      </c>
      <c r="F63" s="99"/>
      <c r="G63" s="99"/>
      <c r="H63" s="25"/>
      <c r="I63" s="25"/>
      <c r="J63" s="25"/>
      <c r="K63" s="25"/>
      <c r="L63" s="25"/>
      <c r="M63" s="25"/>
      <c r="N63" s="25"/>
      <c r="O63" s="26"/>
    </row>
    <row r="64" spans="1:15" ht="25.5" x14ac:dyDescent="0.2">
      <c r="A64" s="170"/>
      <c r="B64" s="25"/>
      <c r="C64" s="22" t="s">
        <v>121</v>
      </c>
      <c r="D64" s="28" t="s">
        <v>98</v>
      </c>
      <c r="E64" s="30" t="e">
        <f>'PL1-Dữ liệu'!#REF!</f>
        <v>#REF!</v>
      </c>
      <c r="F64" s="99"/>
      <c r="G64" s="99"/>
      <c r="H64" s="25"/>
      <c r="I64" s="25"/>
      <c r="J64" s="25"/>
      <c r="K64" s="25"/>
      <c r="L64" s="25"/>
      <c r="M64" s="25"/>
      <c r="N64" s="25"/>
      <c r="O64" s="26"/>
    </row>
    <row r="65" spans="1:15" ht="26.25" customHeight="1" thickBot="1" x14ac:dyDescent="0.25">
      <c r="A65" s="171"/>
      <c r="B65" s="31"/>
      <c r="C65" s="79" t="s">
        <v>180</v>
      </c>
      <c r="D65" s="32" t="s">
        <v>98</v>
      </c>
      <c r="E65" s="33" t="e">
        <f>'PL1-Dữ liệu'!#REF!*'PL1-Dữ liệu'!#REF!+'PL1-Dữ liệu'!#REF!*'PL1-Dữ liệu'!#REF!+'PL1-Dữ liệu'!#REF!*'PL1-Dữ liệu'!#REF!</f>
        <v>#REF!</v>
      </c>
      <c r="F65" s="120"/>
      <c r="G65" s="120"/>
      <c r="H65" s="31"/>
      <c r="I65" s="31"/>
      <c r="J65" s="31"/>
      <c r="K65" s="31"/>
      <c r="L65" s="31"/>
      <c r="M65" s="31"/>
      <c r="N65" s="31"/>
      <c r="O65" s="68"/>
    </row>
    <row r="66" spans="1:15" ht="25.5" customHeight="1" thickTop="1" x14ac:dyDescent="0.2">
      <c r="A66" s="153" t="s">
        <v>118</v>
      </c>
      <c r="B66" s="420" t="s">
        <v>163</v>
      </c>
      <c r="C66" s="420"/>
      <c r="D66" s="154" t="s">
        <v>99</v>
      </c>
      <c r="E66" s="164" t="e">
        <f>E54</f>
        <v>#REF!</v>
      </c>
      <c r="F66" s="164" t="e">
        <f t="shared" ref="F66:O66" si="9">F54</f>
        <v>#REF!</v>
      </c>
      <c r="G66" s="164" t="e">
        <f t="shared" si="9"/>
        <v>#REF!</v>
      </c>
      <c r="H66" s="164" t="e">
        <f t="shared" si="9"/>
        <v>#REF!</v>
      </c>
      <c r="I66" s="164" t="e">
        <f t="shared" si="9"/>
        <v>#REF!</v>
      </c>
      <c r="J66" s="164" t="e">
        <f t="shared" si="9"/>
        <v>#REF!</v>
      </c>
      <c r="K66" s="164" t="e">
        <f t="shared" si="9"/>
        <v>#REF!</v>
      </c>
      <c r="L66" s="164" t="e">
        <f t="shared" si="9"/>
        <v>#REF!</v>
      </c>
      <c r="M66" s="164" t="e">
        <f t="shared" si="9"/>
        <v>#REF!</v>
      </c>
      <c r="N66" s="164" t="e">
        <f t="shared" si="9"/>
        <v>#REF!</v>
      </c>
      <c r="O66" s="165" t="e">
        <f t="shared" si="9"/>
        <v>#REF!</v>
      </c>
    </row>
    <row r="67" spans="1:15" ht="25.5" customHeight="1" x14ac:dyDescent="0.2">
      <c r="A67" s="151" t="s">
        <v>118</v>
      </c>
      <c r="B67" s="416" t="s">
        <v>164</v>
      </c>
      <c r="C67" s="416"/>
      <c r="D67" s="155" t="s">
        <v>99</v>
      </c>
      <c r="E67" s="156" t="e">
        <f>E60</f>
        <v>#REF!</v>
      </c>
      <c r="F67" s="156" t="e">
        <f t="shared" ref="F67:O67" si="10">F60</f>
        <v>#REF!</v>
      </c>
      <c r="G67" s="156" t="e">
        <f t="shared" si="10"/>
        <v>#REF!</v>
      </c>
      <c r="H67" s="156" t="e">
        <f t="shared" si="10"/>
        <v>#REF!</v>
      </c>
      <c r="I67" s="156" t="e">
        <f t="shared" si="10"/>
        <v>#REF!</v>
      </c>
      <c r="J67" s="156" t="e">
        <f t="shared" si="10"/>
        <v>#REF!</v>
      </c>
      <c r="K67" s="156" t="e">
        <f t="shared" si="10"/>
        <v>#REF!</v>
      </c>
      <c r="L67" s="156" t="e">
        <f t="shared" si="10"/>
        <v>#REF!</v>
      </c>
      <c r="M67" s="156" t="e">
        <f t="shared" si="10"/>
        <v>#REF!</v>
      </c>
      <c r="N67" s="156" t="e">
        <f t="shared" si="10"/>
        <v>#REF!</v>
      </c>
      <c r="O67" s="157" t="e">
        <f t="shared" si="10"/>
        <v>#REF!</v>
      </c>
    </row>
    <row r="68" spans="1:15" ht="25.5" customHeight="1" x14ac:dyDescent="0.2">
      <c r="A68" s="151" t="s">
        <v>118</v>
      </c>
      <c r="B68" s="416" t="s">
        <v>165</v>
      </c>
      <c r="C68" s="416"/>
      <c r="D68" s="155" t="s">
        <v>99</v>
      </c>
      <c r="E68" s="156" t="e">
        <f>E67-E66</f>
        <v>#REF!</v>
      </c>
      <c r="F68" s="156" t="e">
        <f t="shared" ref="F68:O68" si="11">F67-F66</f>
        <v>#REF!</v>
      </c>
      <c r="G68" s="156" t="e">
        <f t="shared" si="11"/>
        <v>#REF!</v>
      </c>
      <c r="H68" s="156" t="e">
        <f t="shared" si="11"/>
        <v>#REF!</v>
      </c>
      <c r="I68" s="156" t="e">
        <f t="shared" si="11"/>
        <v>#REF!</v>
      </c>
      <c r="J68" s="156" t="e">
        <f t="shared" si="11"/>
        <v>#REF!</v>
      </c>
      <c r="K68" s="156" t="e">
        <f t="shared" si="11"/>
        <v>#REF!</v>
      </c>
      <c r="L68" s="156" t="e">
        <f t="shared" si="11"/>
        <v>#REF!</v>
      </c>
      <c r="M68" s="156" t="e">
        <f t="shared" si="11"/>
        <v>#REF!</v>
      </c>
      <c r="N68" s="156" t="e">
        <f t="shared" si="11"/>
        <v>#REF!</v>
      </c>
      <c r="O68" s="157" t="e">
        <f t="shared" si="11"/>
        <v>#REF!</v>
      </c>
    </row>
    <row r="69" spans="1:15" ht="25.5" customHeight="1" x14ac:dyDescent="0.2">
      <c r="A69" s="152" t="s">
        <v>118</v>
      </c>
      <c r="B69" s="166"/>
      <c r="C69" s="167" t="s">
        <v>166</v>
      </c>
      <c r="D69" s="166" t="s">
        <v>99</v>
      </c>
      <c r="E69" s="158" t="e">
        <f>E68*'PL1-Dữ liệu'!#REF!</f>
        <v>#REF!</v>
      </c>
      <c r="F69" s="158" t="e">
        <f>F68*'PL1-Dữ liệu'!#REF!</f>
        <v>#REF!</v>
      </c>
      <c r="G69" s="158" t="e">
        <f>G68*'PL1-Dữ liệu'!#REF!</f>
        <v>#REF!</v>
      </c>
      <c r="H69" s="158" t="e">
        <f>H68*'PL1-Dữ liệu'!#REF!</f>
        <v>#REF!</v>
      </c>
      <c r="I69" s="158" t="e">
        <f>I68*'PL1-Dữ liệu'!#REF!</f>
        <v>#REF!</v>
      </c>
      <c r="J69" s="158" t="e">
        <f>J68*'PL1-Dữ liệu'!#REF!</f>
        <v>#REF!</v>
      </c>
      <c r="K69" s="158" t="e">
        <f>K68*'PL1-Dữ liệu'!#REF!</f>
        <v>#REF!</v>
      </c>
      <c r="L69" s="158" t="e">
        <f>L68*'PL1-Dữ liệu'!#REF!</f>
        <v>#REF!</v>
      </c>
      <c r="M69" s="158" t="e">
        <f>M68*'PL1-Dữ liệu'!#REF!</f>
        <v>#REF!</v>
      </c>
      <c r="N69" s="158" t="e">
        <f>N68*'PL1-Dữ liệu'!#REF!</f>
        <v>#REF!</v>
      </c>
      <c r="O69" s="159" t="e">
        <f>O68*'PL1-Dữ liệu'!#REF!</f>
        <v>#REF!</v>
      </c>
    </row>
    <row r="70" spans="1:15" ht="25.5" customHeight="1" thickBot="1" x14ac:dyDescent="0.25">
      <c r="A70" s="160" t="s">
        <v>118</v>
      </c>
      <c r="B70" s="168"/>
      <c r="C70" s="169" t="s">
        <v>167</v>
      </c>
      <c r="D70" s="168" t="s">
        <v>99</v>
      </c>
      <c r="E70" s="161" t="e">
        <f>'PL1-Dữ liệu'!#REF!*'Van de 6(1)'!E68</f>
        <v>#REF!</v>
      </c>
      <c r="F70" s="161" t="e">
        <f>'PL1-Dữ liệu'!#REF!*'Van de 6(1)'!F68</f>
        <v>#REF!</v>
      </c>
      <c r="G70" s="161" t="e">
        <f>'PL1-Dữ liệu'!#REF!*'Van de 6(1)'!G68</f>
        <v>#REF!</v>
      </c>
      <c r="H70" s="161" t="e">
        <f>'PL1-Dữ liệu'!#REF!*'Van de 6(1)'!H68</f>
        <v>#REF!</v>
      </c>
      <c r="I70" s="161" t="e">
        <f>'PL1-Dữ liệu'!#REF!*'Van de 6(1)'!I68</f>
        <v>#REF!</v>
      </c>
      <c r="J70" s="161" t="e">
        <f>'PL1-Dữ liệu'!#REF!*'Van de 6(1)'!J68</f>
        <v>#REF!</v>
      </c>
      <c r="K70" s="161" t="e">
        <f>'PL1-Dữ liệu'!#REF!*'Van de 6(1)'!K68</f>
        <v>#REF!</v>
      </c>
      <c r="L70" s="161" t="e">
        <f>'PL1-Dữ liệu'!#REF!*'Van de 6(1)'!L68</f>
        <v>#REF!</v>
      </c>
      <c r="M70" s="161" t="e">
        <f>'PL1-Dữ liệu'!#REF!*'Van de 6(1)'!M68</f>
        <v>#REF!</v>
      </c>
      <c r="N70" s="161" t="e">
        <f>'PL1-Dữ liệu'!#REF!*'Van de 6(1)'!N68</f>
        <v>#REF!</v>
      </c>
      <c r="O70" s="162" t="e">
        <f>'PL1-Dữ liệu'!#REF!*'Van de 6(1)'!O68</f>
        <v>#REF!</v>
      </c>
    </row>
    <row r="71" spans="1:15" ht="33" customHeight="1" x14ac:dyDescent="0.2">
      <c r="A71" s="81" t="s">
        <v>119</v>
      </c>
      <c r="B71" s="419" t="s">
        <v>120</v>
      </c>
      <c r="C71" s="419"/>
      <c r="D71" s="82"/>
      <c r="E71" s="83"/>
      <c r="F71" s="83"/>
      <c r="G71" s="83"/>
      <c r="H71" s="83"/>
      <c r="I71" s="83"/>
      <c r="J71" s="83"/>
      <c r="K71" s="83"/>
      <c r="L71" s="83"/>
      <c r="M71" s="83"/>
      <c r="N71" s="83"/>
      <c r="O71" s="84"/>
    </row>
    <row r="72" spans="1:15" ht="29.25" customHeight="1" x14ac:dyDescent="0.25">
      <c r="A72" s="87" t="s">
        <v>119</v>
      </c>
      <c r="B72" s="406" t="s">
        <v>168</v>
      </c>
      <c r="C72" s="406"/>
      <c r="D72" s="25"/>
      <c r="E72" s="25"/>
      <c r="F72" s="25"/>
      <c r="G72" s="25"/>
      <c r="H72" s="25"/>
      <c r="I72" s="25"/>
      <c r="J72" s="25"/>
      <c r="K72" s="25"/>
      <c r="L72" s="25"/>
      <c r="M72" s="25"/>
      <c r="N72" s="25"/>
      <c r="O72" s="26"/>
    </row>
    <row r="73" spans="1:15" ht="29.25" customHeight="1" x14ac:dyDescent="0.2">
      <c r="A73" s="145"/>
      <c r="B73" s="407" t="s">
        <v>112</v>
      </c>
      <c r="C73" s="407"/>
      <c r="D73" s="39" t="s">
        <v>99</v>
      </c>
      <c r="E73" s="38" t="e">
        <f>SUM(F73:O73)</f>
        <v>#REF!</v>
      </c>
      <c r="F73" s="38" t="e">
        <f>((E74+E76)*E77+E75)/1000</f>
        <v>#REF!</v>
      </c>
      <c r="G73" s="38" t="e">
        <f>(E74*E77+E75)*(1+'PL1-Dữ liệu'!#REF!)/1000</f>
        <v>#REF!</v>
      </c>
      <c r="H73" s="38" t="e">
        <f>G73*(1+'PL1-Dữ liệu'!#REF!)</f>
        <v>#REF!</v>
      </c>
      <c r="I73" s="38" t="e">
        <f>H73*(1+'PL1-Dữ liệu'!#REF!)</f>
        <v>#REF!</v>
      </c>
      <c r="J73" s="38" t="e">
        <f>I73*(1+'PL1-Dữ liệu'!#REF!)</f>
        <v>#REF!</v>
      </c>
      <c r="K73" s="38" t="e">
        <f>J73*(1+'PL1-Dữ liệu'!#REF!)</f>
        <v>#REF!</v>
      </c>
      <c r="L73" s="38" t="e">
        <f>K73*(1+'PL1-Dữ liệu'!#REF!)</f>
        <v>#REF!</v>
      </c>
      <c r="M73" s="38" t="e">
        <f>L73*(1+'PL1-Dữ liệu'!#REF!)</f>
        <v>#REF!</v>
      </c>
      <c r="N73" s="38" t="e">
        <f>M73*(1+'PL1-Dữ liệu'!#REF!)</f>
        <v>#REF!</v>
      </c>
      <c r="O73" s="90" t="e">
        <f>N73*(1+'PL1-Dữ liệu'!#REF!)</f>
        <v>#REF!</v>
      </c>
    </row>
    <row r="74" spans="1:15" ht="25.5" x14ac:dyDescent="0.2">
      <c r="A74" s="145"/>
      <c r="B74" s="25"/>
      <c r="C74" s="35" t="s">
        <v>115</v>
      </c>
      <c r="D74" s="98" t="s">
        <v>92</v>
      </c>
      <c r="E74" s="125" t="e">
        <f>'PL1-Dữ liệu'!#REF!</f>
        <v>#REF!</v>
      </c>
      <c r="F74" s="25"/>
      <c r="G74" s="25"/>
      <c r="H74" s="25"/>
      <c r="I74" s="25"/>
      <c r="J74" s="25"/>
      <c r="K74" s="25"/>
      <c r="L74" s="25"/>
      <c r="M74" s="25"/>
      <c r="N74" s="25"/>
      <c r="O74" s="26"/>
    </row>
    <row r="75" spans="1:15" ht="25.5" x14ac:dyDescent="0.2">
      <c r="A75" s="145"/>
      <c r="B75" s="25"/>
      <c r="C75" s="35" t="s">
        <v>116</v>
      </c>
      <c r="D75" s="98" t="s">
        <v>92</v>
      </c>
      <c r="E75" s="125" t="e">
        <f>'PL1-Dữ liệu'!#REF!</f>
        <v>#REF!</v>
      </c>
      <c r="F75" s="25"/>
      <c r="G75" s="25"/>
      <c r="H75" s="25"/>
      <c r="I75" s="25"/>
      <c r="J75" s="25"/>
      <c r="K75" s="25"/>
      <c r="L75" s="25"/>
      <c r="M75" s="25"/>
      <c r="N75" s="25"/>
      <c r="O75" s="26"/>
    </row>
    <row r="76" spans="1:15" ht="25.5" x14ac:dyDescent="0.2">
      <c r="A76" s="145"/>
      <c r="B76" s="25"/>
      <c r="C76" s="35" t="s">
        <v>113</v>
      </c>
      <c r="D76" s="98" t="s">
        <v>92</v>
      </c>
      <c r="E76" s="125" t="e">
        <f>'PL1-Dữ liệu'!#REF!</f>
        <v>#REF!</v>
      </c>
      <c r="F76" s="25"/>
      <c r="G76" s="25"/>
      <c r="H76" s="25"/>
      <c r="I76" s="25"/>
      <c r="J76" s="25"/>
      <c r="K76" s="25"/>
      <c r="L76" s="25"/>
      <c r="M76" s="25"/>
      <c r="N76" s="25"/>
      <c r="O76" s="26"/>
    </row>
    <row r="77" spans="1:15" ht="25.5" x14ac:dyDescent="0.2">
      <c r="A77" s="145"/>
      <c r="B77" s="25"/>
      <c r="C77" s="35" t="s">
        <v>114</v>
      </c>
      <c r="D77" s="36" t="s">
        <v>102</v>
      </c>
      <c r="E77" s="34">
        <v>15</v>
      </c>
      <c r="F77" s="25"/>
      <c r="G77" s="25"/>
      <c r="H77" s="25"/>
      <c r="I77" s="25"/>
      <c r="J77" s="25"/>
      <c r="K77" s="25"/>
      <c r="L77" s="25"/>
      <c r="M77" s="25"/>
      <c r="N77" s="25"/>
      <c r="O77" s="26"/>
    </row>
    <row r="78" spans="1:15" ht="31.5" customHeight="1" x14ac:dyDescent="0.25">
      <c r="A78" s="87" t="s">
        <v>119</v>
      </c>
      <c r="B78" s="408" t="s">
        <v>169</v>
      </c>
      <c r="C78" s="408"/>
      <c r="D78" s="25"/>
      <c r="E78" s="25"/>
      <c r="F78" s="25"/>
      <c r="G78" s="25"/>
      <c r="H78" s="25"/>
      <c r="I78" s="25"/>
      <c r="J78" s="25"/>
      <c r="K78" s="25"/>
      <c r="L78" s="25"/>
      <c r="M78" s="25"/>
      <c r="N78" s="25"/>
      <c r="O78" s="26"/>
    </row>
    <row r="79" spans="1:15" ht="27.75" customHeight="1" x14ac:dyDescent="0.2">
      <c r="A79" s="57" t="s">
        <v>119</v>
      </c>
      <c r="B79" s="407" t="s">
        <v>106</v>
      </c>
      <c r="C79" s="407"/>
      <c r="D79" s="39" t="s">
        <v>99</v>
      </c>
      <c r="E79" s="38" t="e">
        <f>SUM(F79:O79)</f>
        <v>#REF!</v>
      </c>
      <c r="F79" s="38" t="e">
        <f>E80*E81*E83*E84*1000000</f>
        <v>#REF!</v>
      </c>
      <c r="G79" s="88" t="e">
        <f>F79*(1+$F$59)</f>
        <v>#REF!</v>
      </c>
      <c r="H79" s="88" t="e">
        <f t="shared" ref="H79:O79" si="12">G79*(1+$F$59)</f>
        <v>#REF!</v>
      </c>
      <c r="I79" s="88" t="e">
        <f t="shared" si="12"/>
        <v>#REF!</v>
      </c>
      <c r="J79" s="88" t="e">
        <f t="shared" si="12"/>
        <v>#REF!</v>
      </c>
      <c r="K79" s="88" t="e">
        <f t="shared" si="12"/>
        <v>#REF!</v>
      </c>
      <c r="L79" s="88" t="e">
        <f t="shared" si="12"/>
        <v>#REF!</v>
      </c>
      <c r="M79" s="88" t="e">
        <f t="shared" si="12"/>
        <v>#REF!</v>
      </c>
      <c r="N79" s="88" t="e">
        <f t="shared" si="12"/>
        <v>#REF!</v>
      </c>
      <c r="O79" s="89" t="e">
        <f t="shared" si="12"/>
        <v>#REF!</v>
      </c>
    </row>
    <row r="80" spans="1:15" ht="25.5" customHeight="1" x14ac:dyDescent="0.2">
      <c r="A80" s="145"/>
      <c r="B80" s="25"/>
      <c r="C80" s="25" t="s">
        <v>103</v>
      </c>
      <c r="D80" s="23" t="s">
        <v>178</v>
      </c>
      <c r="E80" s="86" t="e">
        <f>'PL1-Dữ liệu'!#REF!</f>
        <v>#REF!</v>
      </c>
      <c r="F80" s="99"/>
      <c r="G80" s="99"/>
      <c r="H80" s="25"/>
      <c r="I80" s="25"/>
      <c r="J80" s="25"/>
      <c r="K80" s="25"/>
      <c r="L80" s="25"/>
      <c r="M80" s="25"/>
      <c r="N80" s="25"/>
      <c r="O80" s="26"/>
    </row>
    <row r="81" spans="1:15" ht="25.5" x14ac:dyDescent="0.2">
      <c r="A81" s="145"/>
      <c r="B81" s="25"/>
      <c r="C81" s="13" t="s">
        <v>104</v>
      </c>
      <c r="D81" s="28" t="s">
        <v>98</v>
      </c>
      <c r="E81" s="30" t="e">
        <f>'PL1-Dữ liệu'!#REF!</f>
        <v>#REF!</v>
      </c>
      <c r="F81" s="99"/>
      <c r="G81" s="99"/>
      <c r="H81" s="25"/>
      <c r="I81" s="25"/>
      <c r="J81" s="25"/>
      <c r="K81" s="25"/>
      <c r="L81" s="25"/>
      <c r="M81" s="25"/>
      <c r="N81" s="25"/>
      <c r="O81" s="26"/>
    </row>
    <row r="82" spans="1:15" ht="25.5" x14ac:dyDescent="0.2">
      <c r="A82" s="145"/>
      <c r="B82" s="25"/>
      <c r="C82" s="13" t="s">
        <v>105</v>
      </c>
      <c r="D82" s="28" t="s">
        <v>98</v>
      </c>
      <c r="E82" s="30" t="e">
        <f>'PL1-Dữ liệu'!#REF!</f>
        <v>#REF!</v>
      </c>
      <c r="F82" s="99"/>
      <c r="G82" s="99"/>
      <c r="H82" s="25"/>
      <c r="I82" s="25"/>
      <c r="J82" s="25"/>
      <c r="K82" s="25"/>
      <c r="L82" s="25"/>
      <c r="M82" s="25"/>
      <c r="N82" s="25"/>
      <c r="O82" s="26"/>
    </row>
    <row r="83" spans="1:15" ht="25.5" x14ac:dyDescent="0.2">
      <c r="A83" s="145"/>
      <c r="B83" s="25"/>
      <c r="C83" s="22" t="s">
        <v>121</v>
      </c>
      <c r="D83" s="28" t="s">
        <v>98</v>
      </c>
      <c r="E83" s="30" t="e">
        <f>'PL1-Dữ liệu'!#REF!</f>
        <v>#REF!</v>
      </c>
      <c r="F83" s="99"/>
      <c r="G83" s="99"/>
      <c r="H83" s="25"/>
      <c r="I83" s="25"/>
      <c r="J83" s="25"/>
      <c r="K83" s="25"/>
      <c r="L83" s="25"/>
      <c r="M83" s="25"/>
      <c r="N83" s="25"/>
      <c r="O83" s="26"/>
    </row>
    <row r="84" spans="1:15" ht="27.75" customHeight="1" thickBot="1" x14ac:dyDescent="0.25">
      <c r="A84" s="146"/>
      <c r="B84" s="31"/>
      <c r="C84" s="79" t="s">
        <v>180</v>
      </c>
      <c r="D84" s="32" t="s">
        <v>98</v>
      </c>
      <c r="E84" s="33" t="e">
        <f>'PL1-Dữ liệu'!#REF!*'PL1-Dữ liệu'!#REF!+'PL1-Dữ liệu'!#REF!*'PL1-Dữ liệu'!#REF!</f>
        <v>#REF!</v>
      </c>
      <c r="F84" s="120"/>
      <c r="G84" s="120"/>
      <c r="H84" s="31"/>
      <c r="I84" s="31"/>
      <c r="J84" s="31"/>
      <c r="K84" s="31"/>
      <c r="L84" s="31"/>
      <c r="M84" s="31"/>
      <c r="N84" s="31"/>
      <c r="O84" s="68"/>
    </row>
    <row r="85" spans="1:15" ht="26.25" customHeight="1" thickTop="1" x14ac:dyDescent="0.2">
      <c r="A85" s="52" t="s">
        <v>119</v>
      </c>
      <c r="B85" s="418" t="s">
        <v>170</v>
      </c>
      <c r="C85" s="418"/>
      <c r="D85" s="69" t="s">
        <v>99</v>
      </c>
      <c r="E85" s="133" t="e">
        <f>E73</f>
        <v>#REF!</v>
      </c>
      <c r="F85" s="133" t="e">
        <f t="shared" ref="F85:O85" si="13">F73</f>
        <v>#REF!</v>
      </c>
      <c r="G85" s="133" t="e">
        <f t="shared" si="13"/>
        <v>#REF!</v>
      </c>
      <c r="H85" s="133" t="e">
        <f t="shared" si="13"/>
        <v>#REF!</v>
      </c>
      <c r="I85" s="133" t="e">
        <f t="shared" si="13"/>
        <v>#REF!</v>
      </c>
      <c r="J85" s="133" t="e">
        <f t="shared" si="13"/>
        <v>#REF!</v>
      </c>
      <c r="K85" s="133" t="e">
        <f t="shared" si="13"/>
        <v>#REF!</v>
      </c>
      <c r="L85" s="133" t="e">
        <f t="shared" si="13"/>
        <v>#REF!</v>
      </c>
      <c r="M85" s="133" t="e">
        <f t="shared" si="13"/>
        <v>#REF!</v>
      </c>
      <c r="N85" s="133" t="e">
        <f t="shared" si="13"/>
        <v>#REF!</v>
      </c>
      <c r="O85" s="134" t="e">
        <f t="shared" si="13"/>
        <v>#REF!</v>
      </c>
    </row>
    <row r="86" spans="1:15" ht="26.25" customHeight="1" x14ac:dyDescent="0.2">
      <c r="A86" s="53" t="s">
        <v>119</v>
      </c>
      <c r="B86" s="415" t="s">
        <v>171</v>
      </c>
      <c r="C86" s="415"/>
      <c r="D86" s="48" t="s">
        <v>99</v>
      </c>
      <c r="E86" s="70" t="e">
        <f>E79</f>
        <v>#REF!</v>
      </c>
      <c r="F86" s="70" t="e">
        <f t="shared" ref="F86:O86" si="14">F79</f>
        <v>#REF!</v>
      </c>
      <c r="G86" s="70" t="e">
        <f t="shared" si="14"/>
        <v>#REF!</v>
      </c>
      <c r="H86" s="70" t="e">
        <f t="shared" si="14"/>
        <v>#REF!</v>
      </c>
      <c r="I86" s="70" t="e">
        <f t="shared" si="14"/>
        <v>#REF!</v>
      </c>
      <c r="J86" s="70" t="e">
        <f t="shared" si="14"/>
        <v>#REF!</v>
      </c>
      <c r="K86" s="70" t="e">
        <f t="shared" si="14"/>
        <v>#REF!</v>
      </c>
      <c r="L86" s="70" t="e">
        <f t="shared" si="14"/>
        <v>#REF!</v>
      </c>
      <c r="M86" s="70" t="e">
        <f t="shared" si="14"/>
        <v>#REF!</v>
      </c>
      <c r="N86" s="70" t="e">
        <f t="shared" si="14"/>
        <v>#REF!</v>
      </c>
      <c r="O86" s="71" t="e">
        <f t="shared" si="14"/>
        <v>#REF!</v>
      </c>
    </row>
    <row r="87" spans="1:15" ht="26.25" customHeight="1" x14ac:dyDescent="0.2">
      <c r="A87" s="53" t="s">
        <v>119</v>
      </c>
      <c r="B87" s="415" t="s">
        <v>172</v>
      </c>
      <c r="C87" s="415"/>
      <c r="D87" s="48" t="s">
        <v>99</v>
      </c>
      <c r="E87" s="70" t="e">
        <f t="shared" ref="E87:O87" si="15">E86-E85</f>
        <v>#REF!</v>
      </c>
      <c r="F87" s="70" t="e">
        <f t="shared" si="15"/>
        <v>#REF!</v>
      </c>
      <c r="G87" s="70" t="e">
        <f t="shared" si="15"/>
        <v>#REF!</v>
      </c>
      <c r="H87" s="70" t="e">
        <f t="shared" si="15"/>
        <v>#REF!</v>
      </c>
      <c r="I87" s="70" t="e">
        <f t="shared" si="15"/>
        <v>#REF!</v>
      </c>
      <c r="J87" s="70" t="e">
        <f t="shared" si="15"/>
        <v>#REF!</v>
      </c>
      <c r="K87" s="70" t="e">
        <f t="shared" si="15"/>
        <v>#REF!</v>
      </c>
      <c r="L87" s="70" t="e">
        <f t="shared" si="15"/>
        <v>#REF!</v>
      </c>
      <c r="M87" s="70" t="e">
        <f t="shared" si="15"/>
        <v>#REF!</v>
      </c>
      <c r="N87" s="70" t="e">
        <f t="shared" si="15"/>
        <v>#REF!</v>
      </c>
      <c r="O87" s="71" t="e">
        <f t="shared" si="15"/>
        <v>#REF!</v>
      </c>
    </row>
    <row r="88" spans="1:15" ht="26.25" customHeight="1" x14ac:dyDescent="0.2">
      <c r="A88" s="57" t="s">
        <v>119</v>
      </c>
      <c r="B88" s="135"/>
      <c r="C88" s="136" t="s">
        <v>173</v>
      </c>
      <c r="D88" s="135" t="s">
        <v>99</v>
      </c>
      <c r="E88" s="58" t="e">
        <f>E87*'PL1-Dữ liệu'!#REF!</f>
        <v>#REF!</v>
      </c>
      <c r="F88" s="58" t="e">
        <f>F87*'PL1-Dữ liệu'!#REF!</f>
        <v>#REF!</v>
      </c>
      <c r="G88" s="58" t="e">
        <f>G87*'PL1-Dữ liệu'!#REF!</f>
        <v>#REF!</v>
      </c>
      <c r="H88" s="58" t="e">
        <f>H87*'PL1-Dữ liệu'!#REF!</f>
        <v>#REF!</v>
      </c>
      <c r="I88" s="58" t="e">
        <f>I87*'PL1-Dữ liệu'!#REF!</f>
        <v>#REF!</v>
      </c>
      <c r="J88" s="58" t="e">
        <f>J87*'PL1-Dữ liệu'!#REF!</f>
        <v>#REF!</v>
      </c>
      <c r="K88" s="58" t="e">
        <f>K87*'PL1-Dữ liệu'!#REF!</f>
        <v>#REF!</v>
      </c>
      <c r="L88" s="58" t="e">
        <f>L87*'PL1-Dữ liệu'!#REF!</f>
        <v>#REF!</v>
      </c>
      <c r="M88" s="58" t="e">
        <f>M87*'PL1-Dữ liệu'!#REF!</f>
        <v>#REF!</v>
      </c>
      <c r="N88" s="58" t="e">
        <f>N87*'PL1-Dữ liệu'!#REF!</f>
        <v>#REF!</v>
      </c>
      <c r="O88" s="72" t="e">
        <f>O87*'PL1-Dữ liệu'!#REF!</f>
        <v>#REF!</v>
      </c>
    </row>
    <row r="89" spans="1:15" ht="26.25" customHeight="1" thickBot="1" x14ac:dyDescent="0.25">
      <c r="A89" s="59" t="s">
        <v>119</v>
      </c>
      <c r="B89" s="137"/>
      <c r="C89" s="138" t="s">
        <v>174</v>
      </c>
      <c r="D89" s="137" t="s">
        <v>99</v>
      </c>
      <c r="E89" s="60" t="e">
        <f>'PL1-Dữ liệu'!#REF!*'Van de 6(1)'!E87</f>
        <v>#REF!</v>
      </c>
      <c r="F89" s="60" t="e">
        <f>'PL1-Dữ liệu'!#REF!*'Van de 6(1)'!F87</f>
        <v>#REF!</v>
      </c>
      <c r="G89" s="60" t="e">
        <f>'PL1-Dữ liệu'!#REF!*'Van de 6(1)'!G87</f>
        <v>#REF!</v>
      </c>
      <c r="H89" s="60" t="e">
        <f>'PL1-Dữ liệu'!#REF!*'Van de 6(1)'!H87</f>
        <v>#REF!</v>
      </c>
      <c r="I89" s="60" t="e">
        <f>'PL1-Dữ liệu'!#REF!*'Van de 6(1)'!I87</f>
        <v>#REF!</v>
      </c>
      <c r="J89" s="60" t="e">
        <f>'PL1-Dữ liệu'!#REF!*'Van de 6(1)'!J87</f>
        <v>#REF!</v>
      </c>
      <c r="K89" s="60" t="e">
        <f>'PL1-Dữ liệu'!#REF!*'Van de 6(1)'!K87</f>
        <v>#REF!</v>
      </c>
      <c r="L89" s="60" t="e">
        <f>'PL1-Dữ liệu'!#REF!*'Van de 6(1)'!L87</f>
        <v>#REF!</v>
      </c>
      <c r="M89" s="60" t="e">
        <f>'PL1-Dữ liệu'!#REF!*'Van de 6(1)'!M87</f>
        <v>#REF!</v>
      </c>
      <c r="N89" s="60" t="e">
        <f>'PL1-Dữ liệu'!#REF!*'Van de 6(1)'!N87</f>
        <v>#REF!</v>
      </c>
      <c r="O89" s="73" t="e">
        <f>'PL1-Dữ liệu'!#REF!*'Van de 6(1)'!O87</f>
        <v>#REF!</v>
      </c>
    </row>
  </sheetData>
  <mergeCells count="32">
    <mergeCell ref="B86:C86"/>
    <mergeCell ref="B68:C68"/>
    <mergeCell ref="B25:C25"/>
    <mergeCell ref="B26:C26"/>
    <mergeCell ref="B87:C87"/>
    <mergeCell ref="B72:C72"/>
    <mergeCell ref="B73:C73"/>
    <mergeCell ref="B78:C78"/>
    <mergeCell ref="B79:C79"/>
    <mergeCell ref="B54:C54"/>
    <mergeCell ref="B59:C59"/>
    <mergeCell ref="B85:C85"/>
    <mergeCell ref="B60:C60"/>
    <mergeCell ref="B71:C71"/>
    <mergeCell ref="B66:C66"/>
    <mergeCell ref="B67:C67"/>
    <mergeCell ref="B3:C3"/>
    <mergeCell ref="B4:C4"/>
    <mergeCell ref="B5:C5"/>
    <mergeCell ref="B23:C23"/>
    <mergeCell ref="B41:C41"/>
    <mergeCell ref="B24:C24"/>
    <mergeCell ref="B47:C47"/>
    <mergeCell ref="B29:C29"/>
    <mergeCell ref="B53:C53"/>
    <mergeCell ref="B30:C30"/>
    <mergeCell ref="B31:C31"/>
    <mergeCell ref="B40:C40"/>
    <mergeCell ref="B36:C36"/>
    <mergeCell ref="B48:C48"/>
    <mergeCell ref="B49:C49"/>
    <mergeCell ref="B52:C52"/>
  </mergeCells>
  <phoneticPr fontId="0" type="noConversion"/>
  <pageMargins left="0.27" right="0.28000000000000003" top="0.82" bottom="0.38" header="0.24" footer="0.14000000000000001"/>
  <pageSetup paperSize="9" orientation="landscape" horizontalDpi="300" verticalDpi="300" r:id="rId1"/>
  <headerFooter>
    <oddHeader xml:space="preserve">&amp;C&amp;"Arial,Bold"&amp;14CALCULATION OF BENEFITS - COSTS FOR ISSUE 6
TÍNH TOÁN LỢI ÍCH - CHI PHÍ CHO VẤN ĐỀ 6 </oddHeader>
    <oddFooter>&amp;L&amp;D&amp;CPage &amp;P of &amp;N&amp;R&amp;A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O67"/>
  <sheetViews>
    <sheetView workbookViewId="0">
      <pane xSplit="1" ySplit="3" topLeftCell="B4" activePane="bottomRight" state="frozen"/>
      <selection pane="topRight" activeCell="B1" sqref="B1"/>
      <selection pane="bottomLeft" activeCell="A4" sqref="A4"/>
      <selection pane="bottomRight" activeCell="A7" sqref="A7"/>
    </sheetView>
  </sheetViews>
  <sheetFormatPr defaultRowHeight="15" x14ac:dyDescent="0.2"/>
  <cols>
    <col min="1" max="1" width="64.28515625" style="6" customWidth="1"/>
    <col min="6" max="6" width="19.5703125" customWidth="1"/>
    <col min="8" max="8" width="19.5703125" bestFit="1" customWidth="1"/>
    <col min="9" max="9" width="14.7109375" customWidth="1"/>
    <col min="10" max="10" width="22.28515625" customWidth="1"/>
    <col min="11" max="11" width="9.5703125" customWidth="1"/>
    <col min="12" max="12" width="13" customWidth="1"/>
    <col min="13" max="14" width="13.28515625" customWidth="1"/>
    <col min="15" max="15" width="27.5703125" customWidth="1"/>
  </cols>
  <sheetData>
    <row r="3" spans="1:15" ht="25.5" x14ac:dyDescent="0.2">
      <c r="C3" s="387" t="s">
        <v>185</v>
      </c>
      <c r="D3" s="387"/>
      <c r="E3" s="387"/>
      <c r="F3" s="387" t="s">
        <v>189</v>
      </c>
      <c r="G3" s="387"/>
      <c r="H3" s="387"/>
      <c r="I3" s="387" t="s">
        <v>193</v>
      </c>
      <c r="J3" s="387"/>
      <c r="K3" s="387"/>
      <c r="L3" s="387"/>
      <c r="M3" s="2" t="s">
        <v>197</v>
      </c>
      <c r="O3" s="3" t="s">
        <v>201</v>
      </c>
    </row>
    <row r="4" spans="1:15" ht="26.25" customHeight="1" x14ac:dyDescent="0.2">
      <c r="C4" s="1" t="s">
        <v>186</v>
      </c>
      <c r="D4" s="1" t="s">
        <v>187</v>
      </c>
      <c r="E4" s="1" t="s">
        <v>188</v>
      </c>
      <c r="F4" s="1" t="s">
        <v>190</v>
      </c>
      <c r="G4" s="1" t="s">
        <v>191</v>
      </c>
      <c r="H4" s="1" t="s">
        <v>192</v>
      </c>
      <c r="I4" s="1" t="s">
        <v>194</v>
      </c>
      <c r="J4" s="1" t="s">
        <v>195</v>
      </c>
      <c r="K4" s="1" t="s">
        <v>196</v>
      </c>
      <c r="L4" s="1" t="s">
        <v>198</v>
      </c>
      <c r="M4" s="1" t="s">
        <v>199</v>
      </c>
      <c r="N4" s="1" t="s">
        <v>200</v>
      </c>
    </row>
    <row r="5" spans="1:15" ht="31.5" x14ac:dyDescent="0.25">
      <c r="A5" s="7" t="s">
        <v>202</v>
      </c>
    </row>
    <row r="6" spans="1:15" x14ac:dyDescent="0.2">
      <c r="A6" s="6" t="s">
        <v>217</v>
      </c>
      <c r="B6" t="s">
        <v>222</v>
      </c>
    </row>
    <row r="7" spans="1:15" ht="45" x14ac:dyDescent="0.2">
      <c r="A7" s="8" t="s">
        <v>218</v>
      </c>
      <c r="B7" t="s">
        <v>223</v>
      </c>
    </row>
    <row r="8" spans="1:15" x14ac:dyDescent="0.2">
      <c r="A8" s="8" t="s">
        <v>219</v>
      </c>
    </row>
    <row r="9" spans="1:15" x14ac:dyDescent="0.2">
      <c r="A9" s="8" t="s">
        <v>220</v>
      </c>
      <c r="B9" t="s">
        <v>221</v>
      </c>
    </row>
    <row r="10" spans="1:15" x14ac:dyDescent="0.2">
      <c r="A10" s="8"/>
    </row>
    <row r="11" spans="1:15" x14ac:dyDescent="0.2">
      <c r="A11" s="8"/>
    </row>
    <row r="12" spans="1:15" ht="31.5" x14ac:dyDescent="0.25">
      <c r="A12" s="7" t="s">
        <v>204</v>
      </c>
    </row>
    <row r="13" spans="1:15" x14ac:dyDescent="0.2">
      <c r="A13" s="8" t="s">
        <v>91</v>
      </c>
    </row>
    <row r="14" spans="1:15" x14ac:dyDescent="0.2">
      <c r="A14" s="8" t="s">
        <v>224</v>
      </c>
    </row>
    <row r="15" spans="1:15" ht="30" x14ac:dyDescent="0.2">
      <c r="A15" s="8" t="s">
        <v>226</v>
      </c>
    </row>
    <row r="16" spans="1:15" ht="45" x14ac:dyDescent="0.2">
      <c r="A16" s="8" t="s">
        <v>227</v>
      </c>
      <c r="B16" t="s">
        <v>225</v>
      </c>
    </row>
    <row r="17" spans="1:2" x14ac:dyDescent="0.2">
      <c r="A17" s="8" t="s">
        <v>228</v>
      </c>
    </row>
    <row r="18" spans="1:2" x14ac:dyDescent="0.2">
      <c r="A18" s="8"/>
    </row>
    <row r="19" spans="1:2" ht="47.25" x14ac:dyDescent="0.25">
      <c r="A19" s="7" t="s">
        <v>205</v>
      </c>
    </row>
    <row r="20" spans="1:2" x14ac:dyDescent="0.2">
      <c r="A20" s="8" t="s">
        <v>229</v>
      </c>
    </row>
    <row r="21" spans="1:2" ht="30" x14ac:dyDescent="0.2">
      <c r="A21" s="8" t="s">
        <v>230</v>
      </c>
    </row>
    <row r="22" spans="1:2" x14ac:dyDescent="0.2">
      <c r="A22" s="8" t="s">
        <v>234</v>
      </c>
    </row>
    <row r="23" spans="1:2" x14ac:dyDescent="0.2">
      <c r="A23" s="8" t="s">
        <v>233</v>
      </c>
    </row>
    <row r="24" spans="1:2" ht="30" x14ac:dyDescent="0.2">
      <c r="A24" s="8" t="s">
        <v>232</v>
      </c>
    </row>
    <row r="25" spans="1:2" x14ac:dyDescent="0.2">
      <c r="A25" s="8" t="s">
        <v>231</v>
      </c>
    </row>
    <row r="27" spans="1:2" ht="15.75" x14ac:dyDescent="0.25">
      <c r="A27" s="7" t="s">
        <v>207</v>
      </c>
    </row>
    <row r="28" spans="1:2" x14ac:dyDescent="0.2">
      <c r="A28" s="8" t="s">
        <v>235</v>
      </c>
    </row>
    <row r="29" spans="1:2" ht="120" x14ac:dyDescent="0.2">
      <c r="A29" s="8" t="s">
        <v>17</v>
      </c>
      <c r="B29" t="s">
        <v>236</v>
      </c>
    </row>
    <row r="30" spans="1:2" ht="60" x14ac:dyDescent="0.2">
      <c r="A30" s="8" t="s">
        <v>238</v>
      </c>
      <c r="B30" t="s">
        <v>237</v>
      </c>
    </row>
    <row r="31" spans="1:2" ht="45" x14ac:dyDescent="0.2">
      <c r="A31" s="8" t="s">
        <v>18</v>
      </c>
    </row>
    <row r="32" spans="1:2" x14ac:dyDescent="0.2">
      <c r="A32" s="8"/>
    </row>
    <row r="33" spans="1:1" ht="31.5" x14ac:dyDescent="0.25">
      <c r="A33" s="7" t="s">
        <v>19</v>
      </c>
    </row>
    <row r="34" spans="1:1" ht="30" x14ac:dyDescent="0.2">
      <c r="A34" s="8" t="s">
        <v>209</v>
      </c>
    </row>
    <row r="35" spans="1:1" ht="30" x14ac:dyDescent="0.2">
      <c r="A35" s="8" t="s">
        <v>20</v>
      </c>
    </row>
    <row r="36" spans="1:1" x14ac:dyDescent="0.2">
      <c r="A36" s="8" t="s">
        <v>21</v>
      </c>
    </row>
    <row r="37" spans="1:1" ht="15.75" x14ac:dyDescent="0.25">
      <c r="A37" s="5" t="s">
        <v>210</v>
      </c>
    </row>
    <row r="38" spans="1:1" ht="31.5" x14ac:dyDescent="0.25">
      <c r="A38" s="9" t="s">
        <v>209</v>
      </c>
    </row>
    <row r="39" spans="1:1" ht="30" x14ac:dyDescent="0.2">
      <c r="A39" s="8" t="s">
        <v>22</v>
      </c>
    </row>
    <row r="40" spans="1:1" ht="30" x14ac:dyDescent="0.2">
      <c r="A40" s="8" t="s">
        <v>24</v>
      </c>
    </row>
    <row r="41" spans="1:1" ht="30" x14ac:dyDescent="0.2">
      <c r="A41" s="8" t="s">
        <v>23</v>
      </c>
    </row>
    <row r="42" spans="1:1" x14ac:dyDescent="0.2">
      <c r="A42" s="8" t="s">
        <v>25</v>
      </c>
    </row>
    <row r="43" spans="1:1" ht="31.5" x14ac:dyDescent="0.25">
      <c r="A43" s="7" t="s">
        <v>214</v>
      </c>
    </row>
    <row r="44" spans="1:1" x14ac:dyDescent="0.2">
      <c r="A44" s="8" t="s">
        <v>211</v>
      </c>
    </row>
    <row r="45" spans="1:1" x14ac:dyDescent="0.2">
      <c r="A45" s="8" t="s">
        <v>212</v>
      </c>
    </row>
    <row r="46" spans="1:1" x14ac:dyDescent="0.2">
      <c r="A46" s="8" t="s">
        <v>213</v>
      </c>
    </row>
    <row r="47" spans="1:1" ht="30" x14ac:dyDescent="0.2">
      <c r="A47" s="8" t="s">
        <v>26</v>
      </c>
    </row>
    <row r="48" spans="1:1" x14ac:dyDescent="0.2">
      <c r="A48" s="8" t="s">
        <v>27</v>
      </c>
    </row>
    <row r="49" spans="1:1" ht="15.75" x14ac:dyDescent="0.25">
      <c r="A49" s="7" t="s">
        <v>41</v>
      </c>
    </row>
    <row r="50" spans="1:1" x14ac:dyDescent="0.2">
      <c r="A50" s="8" t="s">
        <v>211</v>
      </c>
    </row>
    <row r="51" spans="1:1" x14ac:dyDescent="0.2">
      <c r="A51" s="8" t="s">
        <v>215</v>
      </c>
    </row>
    <row r="52" spans="1:1" x14ac:dyDescent="0.2">
      <c r="A52" s="6" t="s">
        <v>28</v>
      </c>
    </row>
    <row r="53" spans="1:1" x14ac:dyDescent="0.2">
      <c r="A53" s="6" t="s">
        <v>29</v>
      </c>
    </row>
    <row r="54" spans="1:1" x14ac:dyDescent="0.2">
      <c r="A54" s="6" t="s">
        <v>30</v>
      </c>
    </row>
    <row r="55" spans="1:1" x14ac:dyDescent="0.2">
      <c r="A55" s="6" t="s">
        <v>31</v>
      </c>
    </row>
    <row r="56" spans="1:1" ht="15.75" x14ac:dyDescent="0.25">
      <c r="A56" s="5" t="s">
        <v>36</v>
      </c>
    </row>
    <row r="57" spans="1:1" x14ac:dyDescent="0.2">
      <c r="A57" s="6" t="s">
        <v>211</v>
      </c>
    </row>
    <row r="58" spans="1:1" x14ac:dyDescent="0.2">
      <c r="A58" s="6" t="s">
        <v>37</v>
      </c>
    </row>
    <row r="59" spans="1:1" x14ac:dyDescent="0.2">
      <c r="A59" s="6" t="s">
        <v>38</v>
      </c>
    </row>
    <row r="60" spans="1:1" x14ac:dyDescent="0.2">
      <c r="A60" s="6" t="s">
        <v>39</v>
      </c>
    </row>
    <row r="61" spans="1:1" ht="31.5" x14ac:dyDescent="0.25">
      <c r="A61" s="7" t="s">
        <v>40</v>
      </c>
    </row>
    <row r="62" spans="1:1" x14ac:dyDescent="0.2">
      <c r="A62" s="6" t="s">
        <v>208</v>
      </c>
    </row>
    <row r="63" spans="1:1" x14ac:dyDescent="0.2">
      <c r="A63" s="6" t="s">
        <v>216</v>
      </c>
    </row>
    <row r="64" spans="1:1" x14ac:dyDescent="0.2">
      <c r="A64" s="6" t="s">
        <v>32</v>
      </c>
    </row>
    <row r="65" spans="1:1" x14ac:dyDescent="0.2">
      <c r="A65" s="6" t="s">
        <v>35</v>
      </c>
    </row>
    <row r="66" spans="1:1" x14ac:dyDescent="0.2">
      <c r="A66" s="6" t="s">
        <v>33</v>
      </c>
    </row>
    <row r="67" spans="1:1" x14ac:dyDescent="0.2">
      <c r="A67" s="6" t="s">
        <v>34</v>
      </c>
    </row>
  </sheetData>
  <mergeCells count="3">
    <mergeCell ref="C3:E3"/>
    <mergeCell ref="F3:H3"/>
    <mergeCell ref="I3:L3"/>
  </mergeCells>
  <phoneticPr fontId="1" type="noConversion"/>
  <pageMargins left="0.75" right="0.75" top="1" bottom="1" header="0.5" footer="0.5"/>
  <pageSetup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54"/>
  <sheetViews>
    <sheetView tabSelected="1" zoomScaleNormal="100" workbookViewId="0">
      <pane xSplit="1" ySplit="2" topLeftCell="B3" activePane="bottomRight" state="frozen"/>
      <selection pane="topRight" activeCell="B1" sqref="B1"/>
      <selection pane="bottomLeft" activeCell="A2" sqref="A2"/>
      <selection pane="bottomRight" activeCell="D24" sqref="D24"/>
    </sheetView>
  </sheetViews>
  <sheetFormatPr defaultColWidth="9.28515625" defaultRowHeight="15.75" x14ac:dyDescent="0.2"/>
  <cols>
    <col min="1" max="1" width="6.28515625" style="284" customWidth="1"/>
    <col min="2" max="2" width="46" style="261" customWidth="1"/>
    <col min="3" max="3" width="9.28515625" style="284" customWidth="1"/>
    <col min="4" max="4" width="22" style="287" customWidth="1"/>
    <col min="5" max="5" width="26" style="261" customWidth="1"/>
    <col min="6" max="6" width="36" style="258" customWidth="1"/>
    <col min="7" max="7" width="20.7109375" style="279" bestFit="1" customWidth="1"/>
    <col min="8" max="8" width="25.7109375" style="258" customWidth="1"/>
    <col min="9" max="9" width="14.7109375" style="258" customWidth="1"/>
    <col min="10" max="13" width="6.28515625" style="258" bestFit="1" customWidth="1"/>
    <col min="14" max="14" width="5.7109375" style="258" bestFit="1" customWidth="1"/>
    <col min="15" max="15" width="10.7109375" style="258" bestFit="1" customWidth="1"/>
    <col min="16" max="16" width="4.7109375" style="258" bestFit="1" customWidth="1"/>
    <col min="17" max="16384" width="9.28515625" style="258"/>
  </cols>
  <sheetData>
    <row r="1" spans="1:7" ht="27" customHeight="1" x14ac:dyDescent="0.2">
      <c r="A1" s="388" t="s">
        <v>547</v>
      </c>
      <c r="B1" s="388"/>
      <c r="C1" s="388"/>
      <c r="D1" s="388"/>
      <c r="E1" s="388"/>
      <c r="F1" s="388"/>
    </row>
    <row r="2" spans="1:7" x14ac:dyDescent="0.2">
      <c r="A2" s="289" t="s">
        <v>423</v>
      </c>
      <c r="B2" s="289" t="s">
        <v>521</v>
      </c>
      <c r="C2" s="289" t="s">
        <v>509</v>
      </c>
      <c r="D2" s="290" t="s">
        <v>513</v>
      </c>
      <c r="E2" s="291" t="s">
        <v>514</v>
      </c>
      <c r="F2" s="289" t="s">
        <v>510</v>
      </c>
      <c r="G2" s="272"/>
    </row>
    <row r="3" spans="1:7" x14ac:dyDescent="0.2">
      <c r="A3" s="274" t="s">
        <v>523</v>
      </c>
      <c r="B3" s="273" t="s">
        <v>531</v>
      </c>
      <c r="C3" s="274"/>
      <c r="D3" s="275"/>
      <c r="E3" s="276"/>
      <c r="F3" s="274"/>
      <c r="G3" s="277"/>
    </row>
    <row r="4" spans="1:7" ht="31.5" x14ac:dyDescent="0.2">
      <c r="A4" s="281">
        <v>1.1000000000000001</v>
      </c>
      <c r="B4" s="250" t="s">
        <v>534</v>
      </c>
      <c r="C4" s="281" t="s">
        <v>502</v>
      </c>
      <c r="D4" s="304">
        <f>(128250+135800+138000)*1000000000/3</f>
        <v>134016666666666.67</v>
      </c>
      <c r="E4" s="278" t="s">
        <v>532</v>
      </c>
      <c r="F4" s="250" t="s">
        <v>535</v>
      </c>
    </row>
    <row r="5" spans="1:7" ht="47.25" x14ac:dyDescent="0.2">
      <c r="A5" s="281">
        <v>1.2</v>
      </c>
      <c r="B5" s="250" t="s">
        <v>555</v>
      </c>
      <c r="C5" s="281" t="s">
        <v>502</v>
      </c>
      <c r="D5" s="304">
        <f>D4*G5</f>
        <v>93811666666666.672</v>
      </c>
      <c r="E5" s="278" t="s">
        <v>532</v>
      </c>
      <c r="F5" s="250" t="s">
        <v>556</v>
      </c>
      <c r="G5" s="280">
        <v>0.7</v>
      </c>
    </row>
    <row r="6" spans="1:7" ht="47.25" x14ac:dyDescent="0.2">
      <c r="A6" s="281">
        <v>1.3</v>
      </c>
      <c r="B6" s="250" t="s">
        <v>550</v>
      </c>
      <c r="C6" s="281" t="s">
        <v>502</v>
      </c>
      <c r="D6" s="304">
        <f>D5*G6</f>
        <v>89121083333333.328</v>
      </c>
      <c r="E6" s="278" t="s">
        <v>532</v>
      </c>
      <c r="F6" s="250" t="s">
        <v>568</v>
      </c>
      <c r="G6" s="280">
        <v>0.95</v>
      </c>
    </row>
    <row r="7" spans="1:7" ht="21" customHeight="1" x14ac:dyDescent="0.2">
      <c r="A7" s="281">
        <v>1.4</v>
      </c>
      <c r="B7" s="250" t="s">
        <v>552</v>
      </c>
      <c r="C7" s="281" t="s">
        <v>98</v>
      </c>
      <c r="D7" s="305">
        <v>0.1</v>
      </c>
      <c r="E7" s="306"/>
      <c r="F7" s="250"/>
      <c r="G7" s="280"/>
    </row>
    <row r="8" spans="1:7" ht="31.5" x14ac:dyDescent="0.2">
      <c r="A8" s="281">
        <v>1.5</v>
      </c>
      <c r="B8" s="250" t="s">
        <v>553</v>
      </c>
      <c r="C8" s="281" t="s">
        <v>98</v>
      </c>
      <c r="D8" s="305">
        <f>G8/D4</f>
        <v>0.32156448202959831</v>
      </c>
      <c r="E8" s="278" t="s">
        <v>532</v>
      </c>
      <c r="F8" s="250" t="s">
        <v>675</v>
      </c>
      <c r="G8" s="279">
        <f>43095000000000</f>
        <v>43095000000000</v>
      </c>
    </row>
    <row r="9" spans="1:7" ht="22.9" customHeight="1" x14ac:dyDescent="0.2">
      <c r="A9" s="281">
        <v>1.6</v>
      </c>
      <c r="B9" s="283" t="s">
        <v>551</v>
      </c>
      <c r="C9" s="310" t="s">
        <v>98</v>
      </c>
      <c r="D9" s="305">
        <v>0.2</v>
      </c>
      <c r="E9" s="306"/>
      <c r="F9" s="250"/>
    </row>
    <row r="10" spans="1:7" ht="31.5" x14ac:dyDescent="0.2">
      <c r="A10" s="281">
        <v>1.7</v>
      </c>
      <c r="B10" s="278" t="s">
        <v>554</v>
      </c>
      <c r="C10" s="281" t="s">
        <v>502</v>
      </c>
      <c r="D10" s="307">
        <f>G10*G6*G5</f>
        <v>495000012247.54492</v>
      </c>
      <c r="E10" s="278" t="s">
        <v>532</v>
      </c>
      <c r="F10" s="250"/>
      <c r="G10" s="279">
        <f>249503014408+231640586036+263217320229</f>
        <v>744360920673</v>
      </c>
    </row>
    <row r="11" spans="1:7" ht="23.45" customHeight="1" x14ac:dyDescent="0.2">
      <c r="A11" s="281">
        <v>1.8</v>
      </c>
      <c r="B11" s="278" t="s">
        <v>622</v>
      </c>
      <c r="C11" s="281" t="s">
        <v>539</v>
      </c>
      <c r="D11" s="307">
        <v>96</v>
      </c>
      <c r="E11" s="278" t="s">
        <v>532</v>
      </c>
      <c r="F11" s="250"/>
    </row>
    <row r="12" spans="1:7" ht="23.45" customHeight="1" x14ac:dyDescent="0.2">
      <c r="A12" s="281">
        <v>1.9</v>
      </c>
      <c r="B12" s="283" t="s">
        <v>549</v>
      </c>
      <c r="C12" s="310" t="s">
        <v>539</v>
      </c>
      <c r="D12" s="288">
        <v>5</v>
      </c>
      <c r="E12" s="278" t="s">
        <v>532</v>
      </c>
      <c r="F12" s="250"/>
    </row>
    <row r="13" spans="1:7" ht="31.5" x14ac:dyDescent="0.2">
      <c r="A13" s="355" t="s">
        <v>653</v>
      </c>
      <c r="B13" s="283" t="s">
        <v>572</v>
      </c>
      <c r="C13" s="310" t="s">
        <v>539</v>
      </c>
      <c r="D13" s="308">
        <v>3</v>
      </c>
      <c r="E13" s="278" t="s">
        <v>532</v>
      </c>
      <c r="F13" s="250"/>
    </row>
    <row r="14" spans="1:7" ht="22.15" customHeight="1" x14ac:dyDescent="0.2">
      <c r="A14" s="355" t="s">
        <v>654</v>
      </c>
      <c r="B14" s="278" t="s">
        <v>570</v>
      </c>
      <c r="C14" s="281" t="s">
        <v>539</v>
      </c>
      <c r="D14" s="309">
        <v>8</v>
      </c>
      <c r="E14" s="278" t="s">
        <v>532</v>
      </c>
      <c r="F14" s="250"/>
    </row>
    <row r="15" spans="1:7" ht="31.5" x14ac:dyDescent="0.2">
      <c r="A15" s="355" t="s">
        <v>655</v>
      </c>
      <c r="B15" s="278" t="s">
        <v>649</v>
      </c>
      <c r="C15" s="281" t="s">
        <v>539</v>
      </c>
      <c r="D15" s="309">
        <v>9</v>
      </c>
      <c r="E15" s="278" t="s">
        <v>532</v>
      </c>
      <c r="F15" s="250"/>
    </row>
    <row r="16" spans="1:7" ht="31.5" x14ac:dyDescent="0.2">
      <c r="A16" s="355" t="s">
        <v>656</v>
      </c>
      <c r="B16" s="278" t="s">
        <v>650</v>
      </c>
      <c r="C16" s="281" t="s">
        <v>539</v>
      </c>
      <c r="D16" s="309">
        <v>40</v>
      </c>
      <c r="E16" s="278" t="s">
        <v>532</v>
      </c>
      <c r="F16" s="250"/>
    </row>
    <row r="17" spans="1:9" ht="31.5" x14ac:dyDescent="0.2">
      <c r="A17" s="355" t="s">
        <v>657</v>
      </c>
      <c r="B17" s="278" t="s">
        <v>648</v>
      </c>
      <c r="C17" s="281" t="s">
        <v>539</v>
      </c>
      <c r="D17" s="309">
        <v>10</v>
      </c>
      <c r="E17" s="278" t="s">
        <v>532</v>
      </c>
      <c r="F17" s="250"/>
    </row>
    <row r="18" spans="1:9" ht="31.5" x14ac:dyDescent="0.2">
      <c r="A18" s="355" t="s">
        <v>658</v>
      </c>
      <c r="B18" s="278" t="s">
        <v>651</v>
      </c>
      <c r="C18" s="281" t="s">
        <v>539</v>
      </c>
      <c r="D18" s="309">
        <v>4</v>
      </c>
      <c r="E18" s="278" t="s">
        <v>532</v>
      </c>
      <c r="F18" s="250"/>
    </row>
    <row r="19" spans="1:9" ht="31.5" x14ac:dyDescent="0.2">
      <c r="A19" s="355" t="s">
        <v>659</v>
      </c>
      <c r="B19" s="278" t="s">
        <v>652</v>
      </c>
      <c r="C19" s="281" t="s">
        <v>539</v>
      </c>
      <c r="D19" s="309">
        <v>8</v>
      </c>
      <c r="E19" s="278" t="s">
        <v>532</v>
      </c>
      <c r="F19" s="250"/>
    </row>
    <row r="20" spans="1:9" ht="23.45" customHeight="1" x14ac:dyDescent="0.2">
      <c r="A20" s="274" t="s">
        <v>524</v>
      </c>
      <c r="B20" s="273" t="s">
        <v>618</v>
      </c>
      <c r="C20" s="292"/>
      <c r="D20" s="362"/>
      <c r="E20" s="363"/>
      <c r="F20" s="364"/>
    </row>
    <row r="21" spans="1:9" ht="63" x14ac:dyDescent="0.2">
      <c r="A21" s="281">
        <v>2.1</v>
      </c>
      <c r="B21" s="299" t="s">
        <v>447</v>
      </c>
      <c r="C21" s="300" t="s">
        <v>502</v>
      </c>
      <c r="D21" s="301">
        <f>7800000/22/8</f>
        <v>44318.181818181816</v>
      </c>
      <c r="E21" s="299" t="s">
        <v>557</v>
      </c>
      <c r="F21" s="267" t="s">
        <v>558</v>
      </c>
    </row>
    <row r="22" spans="1:9" ht="157.5" x14ac:dyDescent="0.2">
      <c r="A22" s="281">
        <v>2.2000000000000002</v>
      </c>
      <c r="B22" s="267" t="s">
        <v>503</v>
      </c>
      <c r="C22" s="300" t="s">
        <v>502</v>
      </c>
      <c r="D22" s="301">
        <f>5328000/22/8</f>
        <v>30272.727272727272</v>
      </c>
      <c r="E22" s="267" t="s">
        <v>511</v>
      </c>
      <c r="F22" s="350" t="s">
        <v>576</v>
      </c>
      <c r="G22" s="351"/>
    </row>
    <row r="23" spans="1:9" ht="78.75" x14ac:dyDescent="0.2">
      <c r="A23" s="281">
        <v>2.2999999999999998</v>
      </c>
      <c r="B23" s="250" t="s">
        <v>615</v>
      </c>
      <c r="C23" s="281" t="s">
        <v>502</v>
      </c>
      <c r="D23" s="349">
        <v>70000000</v>
      </c>
      <c r="E23" s="278" t="s">
        <v>616</v>
      </c>
      <c r="F23" s="250" t="s">
        <v>617</v>
      </c>
      <c r="G23" s="351"/>
    </row>
    <row r="24" spans="1:9" ht="47.25" x14ac:dyDescent="0.2">
      <c r="A24" s="281">
        <v>2.4</v>
      </c>
      <c r="B24" s="278" t="s">
        <v>664</v>
      </c>
      <c r="C24" s="281" t="s">
        <v>502</v>
      </c>
      <c r="D24" s="349">
        <v>25000000</v>
      </c>
      <c r="E24" s="278"/>
      <c r="F24" s="250" t="s">
        <v>677</v>
      </c>
      <c r="G24" s="351"/>
      <c r="H24" s="293" t="s">
        <v>676</v>
      </c>
      <c r="I24" s="365">
        <f>(I25+I26)*23500/2</f>
        <v>25850000</v>
      </c>
    </row>
    <row r="25" spans="1:9" ht="47.25" x14ac:dyDescent="0.2">
      <c r="D25" s="285"/>
      <c r="G25" s="351"/>
      <c r="H25" s="366" t="s">
        <v>678</v>
      </c>
      <c r="I25" s="258">
        <v>1500</v>
      </c>
    </row>
    <row r="26" spans="1:9" ht="31.9" customHeight="1" x14ac:dyDescent="0.2">
      <c r="D26" s="285"/>
      <c r="G26" s="351"/>
      <c r="H26" s="258" t="s">
        <v>679</v>
      </c>
      <c r="I26" s="258">
        <v>700</v>
      </c>
    </row>
    <row r="27" spans="1:9" x14ac:dyDescent="0.2">
      <c r="D27" s="285"/>
      <c r="G27" s="351"/>
    </row>
    <row r="28" spans="1:9" x14ac:dyDescent="0.2">
      <c r="D28" s="285"/>
      <c r="G28" s="351"/>
    </row>
    <row r="29" spans="1:9" x14ac:dyDescent="0.2">
      <c r="D29" s="285"/>
      <c r="G29" s="351"/>
    </row>
    <row r="30" spans="1:9" x14ac:dyDescent="0.2">
      <c r="D30" s="285"/>
      <c r="G30" s="351"/>
    </row>
    <row r="31" spans="1:9" x14ac:dyDescent="0.2">
      <c r="D31" s="284"/>
      <c r="G31" s="351"/>
    </row>
    <row r="32" spans="1:9" x14ac:dyDescent="0.2">
      <c r="D32" s="284"/>
      <c r="G32" s="351"/>
    </row>
    <row r="33" spans="2:4" x14ac:dyDescent="0.2">
      <c r="D33" s="284"/>
    </row>
    <row r="34" spans="2:4" x14ac:dyDescent="0.2">
      <c r="D34" s="285"/>
    </row>
    <row r="35" spans="2:4" x14ac:dyDescent="0.2">
      <c r="D35" s="285"/>
    </row>
    <row r="36" spans="2:4" x14ac:dyDescent="0.2">
      <c r="B36" s="286"/>
      <c r="D36" s="285"/>
    </row>
    <row r="37" spans="2:4" x14ac:dyDescent="0.2">
      <c r="D37" s="285"/>
    </row>
    <row r="38" spans="2:4" x14ac:dyDescent="0.2">
      <c r="D38" s="285"/>
    </row>
    <row r="39" spans="2:4" x14ac:dyDescent="0.2">
      <c r="D39" s="285"/>
    </row>
    <row r="40" spans="2:4" x14ac:dyDescent="0.2">
      <c r="D40" s="285"/>
    </row>
    <row r="41" spans="2:4" x14ac:dyDescent="0.2">
      <c r="B41" s="258"/>
      <c r="D41" s="285"/>
    </row>
    <row r="42" spans="2:4" x14ac:dyDescent="0.2">
      <c r="D42" s="285"/>
    </row>
    <row r="43" spans="2:4" x14ac:dyDescent="0.2">
      <c r="D43" s="285"/>
    </row>
    <row r="44" spans="2:4" x14ac:dyDescent="0.2">
      <c r="D44" s="285"/>
    </row>
    <row r="45" spans="2:4" x14ac:dyDescent="0.2">
      <c r="D45" s="285"/>
    </row>
    <row r="46" spans="2:4" x14ac:dyDescent="0.2">
      <c r="B46" s="258"/>
      <c r="D46" s="285"/>
    </row>
    <row r="47" spans="2:4" x14ac:dyDescent="0.2">
      <c r="D47" s="285"/>
    </row>
    <row r="48" spans="2:4" x14ac:dyDescent="0.2">
      <c r="D48" s="285"/>
    </row>
    <row r="49" spans="2:4" x14ac:dyDescent="0.2">
      <c r="D49" s="285"/>
    </row>
    <row r="50" spans="2:4" x14ac:dyDescent="0.2">
      <c r="D50" s="285"/>
    </row>
    <row r="51" spans="2:4" x14ac:dyDescent="0.2">
      <c r="B51" s="258"/>
      <c r="D51" s="285"/>
    </row>
    <row r="52" spans="2:4" x14ac:dyDescent="0.2">
      <c r="D52" s="285"/>
    </row>
    <row r="53" spans="2:4" x14ac:dyDescent="0.2">
      <c r="D53" s="285"/>
    </row>
    <row r="54" spans="2:4" x14ac:dyDescent="0.2">
      <c r="D54" s="285"/>
    </row>
  </sheetData>
  <mergeCells count="1">
    <mergeCell ref="A1:F1"/>
  </mergeCells>
  <phoneticPr fontId="0" type="noConversion"/>
  <hyperlinks>
    <hyperlink ref="H25" r:id="rId1"/>
  </hyperlinks>
  <pageMargins left="0.28999999999999998" right="0.17" top="0.67" bottom="0.52" header="0.3" footer="0.24"/>
  <pageSetup paperSize="9" orientation="landscape" r:id="rId2"/>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zoomScaleNormal="100" workbookViewId="0">
      <pane ySplit="2" topLeftCell="A3" activePane="bottomLeft" state="frozen"/>
      <selection pane="bottomLeft" activeCell="B131" sqref="B131"/>
    </sheetView>
  </sheetViews>
  <sheetFormatPr defaultColWidth="8.7109375" defaultRowHeight="15.75" x14ac:dyDescent="0.2"/>
  <cols>
    <col min="1" max="1" width="7.85546875" style="284" customWidth="1"/>
    <col min="2" max="2" width="66.85546875" style="385" bestFit="1" customWidth="1"/>
    <col min="3" max="3" width="9.7109375" style="295" customWidth="1"/>
    <col min="4" max="4" width="21.5703125" style="385" bestFit="1" customWidth="1"/>
    <col min="5" max="5" width="40.85546875" style="386" customWidth="1"/>
    <col min="6" max="6" width="49.5703125" style="385" customWidth="1"/>
    <col min="7" max="7" width="9.7109375" style="385" customWidth="1"/>
    <col min="8" max="8" width="12.7109375" style="385" bestFit="1" customWidth="1"/>
    <col min="9" max="9" width="62.42578125" style="385" customWidth="1"/>
    <col min="10" max="16384" width="8.7109375" style="385"/>
  </cols>
  <sheetData>
    <row r="1" spans="1:15" ht="31.15" customHeight="1" x14ac:dyDescent="0.2">
      <c r="A1" s="388" t="s">
        <v>548</v>
      </c>
      <c r="B1" s="388"/>
      <c r="C1" s="388"/>
      <c r="D1" s="388"/>
      <c r="E1" s="388"/>
    </row>
    <row r="2" spans="1:15" ht="22.9" customHeight="1" x14ac:dyDescent="0.2">
      <c r="A2" s="328" t="s">
        <v>423</v>
      </c>
      <c r="B2" s="328" t="s">
        <v>508</v>
      </c>
      <c r="C2" s="329" t="s">
        <v>509</v>
      </c>
      <c r="D2" s="330" t="s">
        <v>525</v>
      </c>
      <c r="E2" s="328" t="s">
        <v>526</v>
      </c>
      <c r="F2" s="293"/>
    </row>
    <row r="3" spans="1:15" ht="28.15" customHeight="1" x14ac:dyDescent="0.2">
      <c r="A3" s="352" t="s">
        <v>523</v>
      </c>
      <c r="B3" s="352" t="s">
        <v>596</v>
      </c>
      <c r="C3" s="353"/>
      <c r="D3" s="354"/>
      <c r="E3" s="352"/>
      <c r="F3" s="293"/>
    </row>
    <row r="4" spans="1:15" ht="27.6" customHeight="1" x14ac:dyDescent="0.2">
      <c r="A4" s="331">
        <v>1</v>
      </c>
      <c r="B4" s="332" t="s">
        <v>597</v>
      </c>
      <c r="C4" s="297"/>
      <c r="D4" s="333"/>
      <c r="E4" s="334"/>
    </row>
    <row r="5" spans="1:15" s="313" customFormat="1" ht="26.45" customHeight="1" x14ac:dyDescent="0.2">
      <c r="A5" s="335">
        <v>1.1000000000000001</v>
      </c>
      <c r="B5" s="316" t="s">
        <v>688</v>
      </c>
      <c r="C5" s="319" t="s">
        <v>502</v>
      </c>
      <c r="D5" s="323">
        <f>D6+D11</f>
        <v>15138743345580.879</v>
      </c>
      <c r="E5" s="311" t="s">
        <v>687</v>
      </c>
      <c r="G5" s="314"/>
    </row>
    <row r="6" spans="1:15" ht="26.45" customHeight="1" x14ac:dyDescent="0.2">
      <c r="A6" s="321" t="s">
        <v>528</v>
      </c>
      <c r="B6" s="311" t="s">
        <v>533</v>
      </c>
      <c r="C6" s="324" t="s">
        <v>502</v>
      </c>
      <c r="D6" s="325">
        <f>(D7*D8) + (D7*D9*D10)</f>
        <v>14643743333333.334</v>
      </c>
      <c r="E6" s="311" t="s">
        <v>687</v>
      </c>
    </row>
    <row r="7" spans="1:15" ht="31.5" x14ac:dyDescent="0.2">
      <c r="A7" s="367" t="s">
        <v>680</v>
      </c>
      <c r="B7" s="367" t="s">
        <v>684</v>
      </c>
      <c r="C7" s="324" t="s">
        <v>502</v>
      </c>
      <c r="D7" s="246">
        <f>'PL1-Dữ liệu'!D6</f>
        <v>89121083333333.328</v>
      </c>
      <c r="E7" s="278" t="s">
        <v>567</v>
      </c>
    </row>
    <row r="8" spans="1:15" ht="25.15" customHeight="1" x14ac:dyDescent="0.2">
      <c r="A8" s="367" t="s">
        <v>681</v>
      </c>
      <c r="B8" s="367" t="s">
        <v>552</v>
      </c>
      <c r="C8" s="324" t="s">
        <v>98</v>
      </c>
      <c r="D8" s="368">
        <f>'PL1-Dữ liệu'!D7</f>
        <v>0.1</v>
      </c>
      <c r="E8" s="278" t="s">
        <v>567</v>
      </c>
    </row>
    <row r="9" spans="1:15" ht="31.5" x14ac:dyDescent="0.2">
      <c r="A9" s="367" t="s">
        <v>682</v>
      </c>
      <c r="B9" s="367" t="s">
        <v>685</v>
      </c>
      <c r="C9" s="324" t="s">
        <v>98</v>
      </c>
      <c r="D9" s="368">
        <f>'PL1-Dữ liệu'!D8</f>
        <v>0.32156448202959831</v>
      </c>
      <c r="E9" s="278" t="s">
        <v>567</v>
      </c>
    </row>
    <row r="10" spans="1:15" ht="22.15" customHeight="1" x14ac:dyDescent="0.2">
      <c r="A10" s="367" t="s">
        <v>683</v>
      </c>
      <c r="B10" s="367" t="s">
        <v>551</v>
      </c>
      <c r="C10" s="324" t="s">
        <v>98</v>
      </c>
      <c r="D10" s="368">
        <f>'PL1-Dữ liệu'!D9</f>
        <v>0.2</v>
      </c>
      <c r="E10" s="278" t="s">
        <v>567</v>
      </c>
    </row>
    <row r="11" spans="1:15" ht="31.5" x14ac:dyDescent="0.2">
      <c r="A11" s="321" t="s">
        <v>529</v>
      </c>
      <c r="B11" s="311" t="s">
        <v>686</v>
      </c>
      <c r="C11" s="324" t="s">
        <v>502</v>
      </c>
      <c r="D11" s="315">
        <f>'PL1-Dữ liệu'!D10</f>
        <v>495000012247.54492</v>
      </c>
      <c r="E11" s="311" t="s">
        <v>567</v>
      </c>
    </row>
    <row r="12" spans="1:15" s="282" customFormat="1" ht="47.25" x14ac:dyDescent="0.2">
      <c r="A12" s="331">
        <v>2</v>
      </c>
      <c r="B12" s="296" t="s">
        <v>598</v>
      </c>
      <c r="C12" s="297"/>
      <c r="D12" s="298"/>
      <c r="E12" s="334"/>
      <c r="F12" s="282" t="s">
        <v>93</v>
      </c>
    </row>
    <row r="13" spans="1:15" s="282" customFormat="1" ht="31.5" x14ac:dyDescent="0.2">
      <c r="A13" s="335">
        <v>2.1</v>
      </c>
      <c r="B13" s="316" t="s">
        <v>537</v>
      </c>
      <c r="C13" s="317" t="s">
        <v>502</v>
      </c>
      <c r="D13" s="318">
        <f>'PL3-VBPL'!D10+'PL3-VBPL'!D4</f>
        <v>351324454.54545456</v>
      </c>
      <c r="E13" s="311" t="s">
        <v>601</v>
      </c>
    </row>
    <row r="14" spans="1:15" s="302" customFormat="1" ht="25.9" customHeight="1" x14ac:dyDescent="0.2">
      <c r="A14" s="335" t="s">
        <v>538</v>
      </c>
      <c r="B14" s="316" t="s">
        <v>569</v>
      </c>
      <c r="C14" s="319" t="s">
        <v>502</v>
      </c>
      <c r="D14" s="318">
        <f>D15*D16*D17*D18</f>
        <v>177272727.27272725</v>
      </c>
      <c r="E14" s="316"/>
      <c r="J14" s="320"/>
      <c r="K14" s="320"/>
      <c r="L14" s="320"/>
      <c r="M14" s="320"/>
      <c r="N14" s="320"/>
      <c r="O14" s="320"/>
    </row>
    <row r="15" spans="1:15" s="294" customFormat="1" ht="25.9" customHeight="1" x14ac:dyDescent="0.2">
      <c r="A15" s="321" t="s">
        <v>527</v>
      </c>
      <c r="B15" s="312" t="s">
        <v>549</v>
      </c>
      <c r="C15" s="317" t="s">
        <v>539</v>
      </c>
      <c r="D15" s="321">
        <f>'PL1-Dữ liệu'!D12</f>
        <v>5</v>
      </c>
      <c r="E15" s="311" t="s">
        <v>567</v>
      </c>
      <c r="J15" s="282"/>
      <c r="K15" s="282"/>
      <c r="L15" s="282"/>
      <c r="M15" s="282"/>
      <c r="N15" s="282"/>
      <c r="O15" s="282"/>
    </row>
    <row r="16" spans="1:15" s="294" customFormat="1" ht="25.9" customHeight="1" x14ac:dyDescent="0.2">
      <c r="A16" s="321" t="s">
        <v>579</v>
      </c>
      <c r="B16" s="311" t="s">
        <v>566</v>
      </c>
      <c r="C16" s="317" t="s">
        <v>512</v>
      </c>
      <c r="D16" s="321">
        <v>100</v>
      </c>
      <c r="E16" s="311" t="s">
        <v>701</v>
      </c>
      <c r="J16" s="282"/>
      <c r="K16" s="282"/>
      <c r="L16" s="282"/>
      <c r="M16" s="282"/>
      <c r="N16" s="282"/>
      <c r="O16" s="282"/>
    </row>
    <row r="17" spans="1:15" s="294" customFormat="1" ht="25.9" customHeight="1" x14ac:dyDescent="0.2">
      <c r="A17" s="321" t="s">
        <v>564</v>
      </c>
      <c r="B17" s="311" t="s">
        <v>540</v>
      </c>
      <c r="C17" s="317" t="s">
        <v>520</v>
      </c>
      <c r="D17" s="322">
        <v>8</v>
      </c>
      <c r="E17" s="336"/>
      <c r="J17" s="282"/>
      <c r="K17" s="282"/>
      <c r="L17" s="282"/>
      <c r="M17" s="282"/>
      <c r="N17" s="282"/>
      <c r="O17" s="282"/>
    </row>
    <row r="18" spans="1:15" s="294" customFormat="1" ht="25.9" customHeight="1" x14ac:dyDescent="0.2">
      <c r="A18" s="321" t="s">
        <v>580</v>
      </c>
      <c r="B18" s="311" t="s">
        <v>447</v>
      </c>
      <c r="C18" s="317" t="s">
        <v>502</v>
      </c>
      <c r="D18" s="322">
        <f>'PL1-Dữ liệu'!D21</f>
        <v>44318.181818181816</v>
      </c>
      <c r="E18" s="311" t="s">
        <v>567</v>
      </c>
      <c r="J18" s="282"/>
      <c r="K18" s="282"/>
      <c r="L18" s="282"/>
      <c r="M18" s="282"/>
      <c r="N18" s="282"/>
      <c r="O18" s="282"/>
    </row>
    <row r="19" spans="1:15" s="303" customFormat="1" ht="25.9" customHeight="1" x14ac:dyDescent="0.2">
      <c r="A19" s="335">
        <v>2.2999999999999998</v>
      </c>
      <c r="B19" s="316" t="s">
        <v>536</v>
      </c>
      <c r="C19" s="319"/>
      <c r="D19" s="323">
        <f>D20+D27</f>
        <v>16652617680138.967</v>
      </c>
      <c r="E19" s="335"/>
    </row>
    <row r="20" spans="1:15" s="294" customFormat="1" ht="25.9" customHeight="1" x14ac:dyDescent="0.2">
      <c r="A20" s="321" t="s">
        <v>515</v>
      </c>
      <c r="B20" s="311" t="s">
        <v>533</v>
      </c>
      <c r="C20" s="324" t="s">
        <v>502</v>
      </c>
      <c r="D20" s="325">
        <f>(D23*D24) + (D23*D25*D26)</f>
        <v>16108117666666.668</v>
      </c>
      <c r="E20" s="278" t="s">
        <v>687</v>
      </c>
      <c r="J20" s="282"/>
      <c r="K20" s="282"/>
      <c r="L20" s="282"/>
      <c r="M20" s="282"/>
      <c r="N20" s="282"/>
      <c r="O20" s="282"/>
    </row>
    <row r="21" spans="1:15" s="327" customFormat="1" ht="25.9" customHeight="1" x14ac:dyDescent="0.2">
      <c r="A21" s="367" t="s">
        <v>689</v>
      </c>
      <c r="B21" s="367" t="s">
        <v>697</v>
      </c>
      <c r="C21" s="281" t="s">
        <v>98</v>
      </c>
      <c r="D21" s="305">
        <v>0.1</v>
      </c>
      <c r="E21" s="278" t="s">
        <v>698</v>
      </c>
    </row>
    <row r="22" spans="1:15" s="327" customFormat="1" ht="31.15" customHeight="1" x14ac:dyDescent="0.2">
      <c r="A22" s="367" t="s">
        <v>690</v>
      </c>
      <c r="B22" s="367" t="s">
        <v>684</v>
      </c>
      <c r="C22" s="324" t="s">
        <v>502</v>
      </c>
      <c r="D22" s="246">
        <f>'PL1-Dữ liệu'!D6</f>
        <v>89121083333333.328</v>
      </c>
      <c r="E22" s="278" t="s">
        <v>567</v>
      </c>
    </row>
    <row r="23" spans="1:15" s="327" customFormat="1" ht="36" customHeight="1" x14ac:dyDescent="0.2">
      <c r="A23" s="367" t="s">
        <v>691</v>
      </c>
      <c r="B23" s="367" t="s">
        <v>696</v>
      </c>
      <c r="C23" s="324" t="s">
        <v>502</v>
      </c>
      <c r="D23" s="246">
        <f>D22*(1+D21)</f>
        <v>98033191666666.672</v>
      </c>
      <c r="E23" s="278" t="s">
        <v>687</v>
      </c>
    </row>
    <row r="24" spans="1:15" s="327" customFormat="1" ht="25.9" customHeight="1" x14ac:dyDescent="0.2">
      <c r="A24" s="367" t="s">
        <v>692</v>
      </c>
      <c r="B24" s="367" t="s">
        <v>552</v>
      </c>
      <c r="C24" s="324" t="s">
        <v>98</v>
      </c>
      <c r="D24" s="368">
        <f>'PL1-Dữ liệu'!D7</f>
        <v>0.1</v>
      </c>
      <c r="E24" s="278" t="s">
        <v>567</v>
      </c>
    </row>
    <row r="25" spans="1:15" s="369" customFormat="1" ht="31.5" x14ac:dyDescent="0.2">
      <c r="A25" s="367" t="s">
        <v>693</v>
      </c>
      <c r="B25" s="367" t="s">
        <v>694</v>
      </c>
      <c r="C25" s="324" t="s">
        <v>98</v>
      </c>
      <c r="D25" s="368">
        <f>'PL1-Dữ liệu'!D8</f>
        <v>0.32156448202959831</v>
      </c>
      <c r="E25" s="278" t="s">
        <v>567</v>
      </c>
      <c r="J25" s="327"/>
      <c r="K25" s="327"/>
      <c r="L25" s="327"/>
      <c r="M25" s="327"/>
      <c r="N25" s="327"/>
      <c r="O25" s="327"/>
    </row>
    <row r="26" spans="1:15" s="369" customFormat="1" ht="21" customHeight="1" x14ac:dyDescent="0.2">
      <c r="A26" s="367" t="s">
        <v>695</v>
      </c>
      <c r="B26" s="367" t="s">
        <v>551</v>
      </c>
      <c r="C26" s="324" t="s">
        <v>98</v>
      </c>
      <c r="D26" s="368">
        <f>'PL1-Dữ liệu'!D9</f>
        <v>0.2</v>
      </c>
      <c r="E26" s="278" t="s">
        <v>567</v>
      </c>
      <c r="J26" s="327"/>
      <c r="K26" s="327"/>
      <c r="L26" s="327"/>
      <c r="M26" s="327"/>
      <c r="N26" s="327"/>
      <c r="O26" s="327"/>
    </row>
    <row r="27" spans="1:15" s="282" customFormat="1" ht="31.5" x14ac:dyDescent="0.2">
      <c r="A27" s="321" t="s">
        <v>516</v>
      </c>
      <c r="B27" s="311" t="s">
        <v>699</v>
      </c>
      <c r="C27" s="324" t="s">
        <v>502</v>
      </c>
      <c r="D27" s="315">
        <f>'PL1-Dữ liệu'!D10*(1+D21)</f>
        <v>544500013472.29944</v>
      </c>
      <c r="E27" s="278" t="s">
        <v>700</v>
      </c>
    </row>
    <row r="28" spans="1:15" s="282" customFormat="1" ht="22.9" customHeight="1" x14ac:dyDescent="0.2">
      <c r="A28" s="331">
        <v>3</v>
      </c>
      <c r="B28" s="296" t="s">
        <v>599</v>
      </c>
      <c r="C28" s="297"/>
      <c r="D28" s="298"/>
      <c r="E28" s="334"/>
      <c r="F28" s="282" t="s">
        <v>93</v>
      </c>
    </row>
    <row r="29" spans="1:15" s="282" customFormat="1" ht="31.5" x14ac:dyDescent="0.2">
      <c r="A29" s="335">
        <v>3.1</v>
      </c>
      <c r="B29" s="316" t="s">
        <v>537</v>
      </c>
      <c r="C29" s="317" t="s">
        <v>502</v>
      </c>
      <c r="D29" s="318">
        <f>'PL3-VBPL'!D4</f>
        <v>223240818.18181819</v>
      </c>
      <c r="E29" s="311" t="s">
        <v>602</v>
      </c>
    </row>
    <row r="30" spans="1:15" s="302" customFormat="1" ht="31.5" x14ac:dyDescent="0.2">
      <c r="A30" s="335">
        <v>3.2</v>
      </c>
      <c r="B30" s="316" t="s">
        <v>571</v>
      </c>
      <c r="C30" s="319" t="s">
        <v>502</v>
      </c>
      <c r="D30" s="318">
        <f>D31*D32*D33*D34</f>
        <v>10636363.636363637</v>
      </c>
      <c r="E30" s="316"/>
      <c r="J30" s="320"/>
      <c r="K30" s="320"/>
      <c r="L30" s="320"/>
      <c r="M30" s="320"/>
      <c r="N30" s="320"/>
      <c r="O30" s="320"/>
    </row>
    <row r="31" spans="1:15" s="294" customFormat="1" ht="24" customHeight="1" x14ac:dyDescent="0.2">
      <c r="A31" s="321" t="s">
        <v>581</v>
      </c>
      <c r="B31" s="312" t="s">
        <v>572</v>
      </c>
      <c r="C31" s="317" t="s">
        <v>539</v>
      </c>
      <c r="D31" s="321">
        <f>'PL1-Dữ liệu'!D13</f>
        <v>3</v>
      </c>
      <c r="E31" s="311" t="s">
        <v>567</v>
      </c>
      <c r="J31" s="282"/>
      <c r="K31" s="282"/>
      <c r="L31" s="282"/>
      <c r="M31" s="282"/>
      <c r="N31" s="282"/>
      <c r="O31" s="282"/>
    </row>
    <row r="32" spans="1:15" s="294" customFormat="1" ht="24" customHeight="1" x14ac:dyDescent="0.2">
      <c r="A32" s="321" t="s">
        <v>582</v>
      </c>
      <c r="B32" s="311" t="s">
        <v>573</v>
      </c>
      <c r="C32" s="317" t="s">
        <v>574</v>
      </c>
      <c r="D32" s="321">
        <v>1</v>
      </c>
      <c r="E32" s="311" t="s">
        <v>698</v>
      </c>
      <c r="J32" s="282"/>
      <c r="K32" s="282"/>
      <c r="L32" s="282"/>
      <c r="M32" s="282"/>
      <c r="N32" s="282"/>
      <c r="O32" s="282"/>
    </row>
    <row r="33" spans="1:15" s="294" customFormat="1" ht="24" customHeight="1" x14ac:dyDescent="0.2">
      <c r="A33" s="321" t="s">
        <v>583</v>
      </c>
      <c r="B33" s="311" t="s">
        <v>575</v>
      </c>
      <c r="C33" s="317" t="s">
        <v>520</v>
      </c>
      <c r="D33" s="322">
        <v>80</v>
      </c>
      <c r="E33" s="311" t="s">
        <v>698</v>
      </c>
      <c r="J33" s="282"/>
      <c r="K33" s="282"/>
      <c r="L33" s="282"/>
      <c r="M33" s="282"/>
      <c r="N33" s="282"/>
      <c r="O33" s="282"/>
    </row>
    <row r="34" spans="1:15" s="294" customFormat="1" ht="24" customHeight="1" x14ac:dyDescent="0.2">
      <c r="A34" s="321" t="s">
        <v>584</v>
      </c>
      <c r="B34" s="311" t="s">
        <v>447</v>
      </c>
      <c r="C34" s="317" t="s">
        <v>502</v>
      </c>
      <c r="D34" s="322">
        <f>'PL1-Dữ liệu'!D21</f>
        <v>44318.181818181816</v>
      </c>
      <c r="E34" s="311" t="s">
        <v>567</v>
      </c>
      <c r="J34" s="282"/>
      <c r="K34" s="282"/>
      <c r="L34" s="282"/>
      <c r="M34" s="282"/>
      <c r="N34" s="282"/>
      <c r="O34" s="282"/>
    </row>
    <row r="35" spans="1:15" s="302" customFormat="1" ht="31.5" x14ac:dyDescent="0.2">
      <c r="A35" s="335">
        <v>3.2</v>
      </c>
      <c r="B35" s="316" t="s">
        <v>702</v>
      </c>
      <c r="C35" s="319" t="s">
        <v>502</v>
      </c>
      <c r="D35" s="318">
        <f>D36*D37*D38*D39</f>
        <v>992727272.72727263</v>
      </c>
      <c r="E35" s="316" t="s">
        <v>687</v>
      </c>
      <c r="J35" s="320"/>
      <c r="K35" s="320"/>
      <c r="L35" s="320"/>
      <c r="M35" s="320"/>
      <c r="N35" s="320"/>
      <c r="O35" s="320"/>
    </row>
    <row r="36" spans="1:15" s="294" customFormat="1" ht="22.9" customHeight="1" x14ac:dyDescent="0.2">
      <c r="A36" s="321" t="s">
        <v>585</v>
      </c>
      <c r="B36" s="312" t="s">
        <v>570</v>
      </c>
      <c r="C36" s="317" t="s">
        <v>539</v>
      </c>
      <c r="D36" s="321">
        <f>'PL1-Dữ liệu'!D14</f>
        <v>8</v>
      </c>
      <c r="E36" s="311" t="s">
        <v>567</v>
      </c>
      <c r="J36" s="282"/>
      <c r="K36" s="282"/>
      <c r="L36" s="282"/>
      <c r="M36" s="282"/>
      <c r="N36" s="282"/>
      <c r="O36" s="282"/>
    </row>
    <row r="37" spans="1:15" s="294" customFormat="1" ht="31.5" x14ac:dyDescent="0.2">
      <c r="A37" s="321" t="s">
        <v>586</v>
      </c>
      <c r="B37" s="311" t="s">
        <v>578</v>
      </c>
      <c r="C37" s="317" t="s">
        <v>574</v>
      </c>
      <c r="D37" s="321">
        <v>70</v>
      </c>
      <c r="E37" s="311" t="s">
        <v>698</v>
      </c>
      <c r="J37" s="282"/>
      <c r="K37" s="282"/>
      <c r="L37" s="282"/>
      <c r="M37" s="282"/>
      <c r="N37" s="282"/>
      <c r="O37" s="282"/>
    </row>
    <row r="38" spans="1:15" s="294" customFormat="1" ht="24" customHeight="1" x14ac:dyDescent="0.2">
      <c r="A38" s="321" t="s">
        <v>563</v>
      </c>
      <c r="B38" s="311" t="s">
        <v>577</v>
      </c>
      <c r="C38" s="317" t="s">
        <v>520</v>
      </c>
      <c r="D38" s="322">
        <v>40</v>
      </c>
      <c r="E38" s="311" t="s">
        <v>698</v>
      </c>
      <c r="J38" s="282"/>
      <c r="K38" s="282"/>
      <c r="L38" s="282"/>
      <c r="M38" s="282"/>
      <c r="N38" s="282"/>
      <c r="O38" s="282"/>
    </row>
    <row r="39" spans="1:15" s="294" customFormat="1" ht="23.45" customHeight="1" x14ac:dyDescent="0.2">
      <c r="A39" s="321" t="s">
        <v>587</v>
      </c>
      <c r="B39" s="311" t="s">
        <v>447</v>
      </c>
      <c r="C39" s="317" t="s">
        <v>502</v>
      </c>
      <c r="D39" s="322">
        <f>'PL1-Dữ liệu'!D21</f>
        <v>44318.181818181816</v>
      </c>
      <c r="E39" s="311" t="s">
        <v>567</v>
      </c>
      <c r="J39" s="282"/>
      <c r="K39" s="282"/>
      <c r="L39" s="282"/>
      <c r="M39" s="282"/>
      <c r="N39" s="282"/>
      <c r="O39" s="282"/>
    </row>
    <row r="40" spans="1:15" s="302" customFormat="1" ht="25.9" customHeight="1" x14ac:dyDescent="0.2">
      <c r="A40" s="335">
        <v>3.4</v>
      </c>
      <c r="B40" s="326" t="s">
        <v>536</v>
      </c>
      <c r="C40" s="319"/>
      <c r="D40" s="323">
        <f>D41+D47</f>
        <v>16955392547050.586</v>
      </c>
      <c r="E40" s="316" t="s">
        <v>687</v>
      </c>
      <c r="J40" s="320"/>
      <c r="K40" s="320"/>
      <c r="L40" s="320"/>
      <c r="M40" s="320"/>
      <c r="N40" s="320"/>
      <c r="O40" s="320"/>
    </row>
    <row r="41" spans="1:15" s="294" customFormat="1" ht="21.6" customHeight="1" x14ac:dyDescent="0.2">
      <c r="A41" s="321" t="s">
        <v>603</v>
      </c>
      <c r="B41" s="311" t="s">
        <v>533</v>
      </c>
      <c r="C41" s="324" t="s">
        <v>502</v>
      </c>
      <c r="D41" s="325">
        <f>(D43*D44) + (D43*D45*D46)</f>
        <v>16400992533333.336</v>
      </c>
      <c r="E41" s="311" t="s">
        <v>687</v>
      </c>
      <c r="J41" s="282"/>
      <c r="K41" s="282"/>
      <c r="L41" s="282"/>
      <c r="M41" s="282"/>
      <c r="N41" s="282"/>
      <c r="O41" s="282"/>
    </row>
    <row r="42" spans="1:15" s="327" customFormat="1" ht="21.6" customHeight="1" x14ac:dyDescent="0.2">
      <c r="A42" s="367" t="s">
        <v>604</v>
      </c>
      <c r="B42" s="367" t="s">
        <v>703</v>
      </c>
      <c r="C42" s="281" t="s">
        <v>98</v>
      </c>
      <c r="D42" s="305">
        <v>0.12</v>
      </c>
      <c r="E42" s="278" t="s">
        <v>698</v>
      </c>
    </row>
    <row r="43" spans="1:15" s="327" customFormat="1" ht="30.6" customHeight="1" x14ac:dyDescent="0.2">
      <c r="A43" s="367" t="s">
        <v>605</v>
      </c>
      <c r="B43" s="367" t="s">
        <v>704</v>
      </c>
      <c r="C43" s="324" t="s">
        <v>502</v>
      </c>
      <c r="D43" s="246">
        <f>'PL1-Dữ liệu'!D6*(1+D42)</f>
        <v>99815613333333.344</v>
      </c>
      <c r="E43" s="278" t="s">
        <v>687</v>
      </c>
    </row>
    <row r="44" spans="1:15" s="327" customFormat="1" ht="21.6" customHeight="1" x14ac:dyDescent="0.2">
      <c r="A44" s="367" t="s">
        <v>606</v>
      </c>
      <c r="B44" s="367" t="s">
        <v>552</v>
      </c>
      <c r="C44" s="324" t="s">
        <v>98</v>
      </c>
      <c r="D44" s="368">
        <f>'PL1-Dữ liệu'!D7</f>
        <v>0.1</v>
      </c>
      <c r="E44" s="278" t="s">
        <v>567</v>
      </c>
    </row>
    <row r="45" spans="1:15" s="369" customFormat="1" ht="31.5" x14ac:dyDescent="0.2">
      <c r="A45" s="367" t="s">
        <v>607</v>
      </c>
      <c r="B45" s="367" t="s">
        <v>705</v>
      </c>
      <c r="C45" s="324" t="s">
        <v>98</v>
      </c>
      <c r="D45" s="368">
        <f>'PL1-Dữ liệu'!D8</f>
        <v>0.32156448202959831</v>
      </c>
      <c r="E45" s="278" t="s">
        <v>567</v>
      </c>
      <c r="J45" s="327"/>
      <c r="K45" s="327"/>
      <c r="L45" s="327"/>
      <c r="M45" s="327"/>
      <c r="N45" s="327"/>
      <c r="O45" s="327"/>
    </row>
    <row r="46" spans="1:15" s="369" customFormat="1" ht="24" customHeight="1" x14ac:dyDescent="0.2">
      <c r="A46" s="367" t="s">
        <v>608</v>
      </c>
      <c r="B46" s="367" t="s">
        <v>551</v>
      </c>
      <c r="C46" s="324" t="s">
        <v>98</v>
      </c>
      <c r="D46" s="368">
        <f>'PL1-Dữ liệu'!D9</f>
        <v>0.2</v>
      </c>
      <c r="E46" s="278" t="s">
        <v>567</v>
      </c>
      <c r="J46" s="327"/>
      <c r="K46" s="327"/>
      <c r="L46" s="327"/>
      <c r="M46" s="327"/>
      <c r="N46" s="327"/>
      <c r="O46" s="327"/>
    </row>
    <row r="47" spans="1:15" s="282" customFormat="1" ht="31.5" x14ac:dyDescent="0.2">
      <c r="A47" s="321" t="s">
        <v>604</v>
      </c>
      <c r="B47" s="311" t="s">
        <v>554</v>
      </c>
      <c r="C47" s="324" t="s">
        <v>502</v>
      </c>
      <c r="D47" s="315">
        <f>'PL1-Dữ liệu'!D10*(1+D42)</f>
        <v>554400013717.25037</v>
      </c>
      <c r="E47" s="311" t="s">
        <v>687</v>
      </c>
    </row>
    <row r="48" spans="1:15" s="327" customFormat="1" x14ac:dyDescent="0.2">
      <c r="A48" s="337"/>
      <c r="B48" s="338" t="s">
        <v>541</v>
      </c>
      <c r="C48" s="339"/>
      <c r="D48" s="340"/>
      <c r="E48" s="341"/>
      <c r="F48" s="385"/>
      <c r="J48" s="282"/>
      <c r="K48" s="282"/>
      <c r="L48" s="282"/>
      <c r="M48" s="282"/>
      <c r="N48" s="282"/>
      <c r="O48" s="282"/>
    </row>
    <row r="49" spans="1:15" s="327" customFormat="1" x14ac:dyDescent="0.2">
      <c r="A49" s="337"/>
      <c r="B49" s="337" t="s">
        <v>591</v>
      </c>
      <c r="C49" s="339"/>
      <c r="D49" s="342">
        <f>D5</f>
        <v>15138743345580.879</v>
      </c>
      <c r="E49" s="341" t="s">
        <v>588</v>
      </c>
      <c r="F49" s="385"/>
      <c r="J49" s="282"/>
      <c r="K49" s="282"/>
      <c r="L49" s="282"/>
      <c r="M49" s="282"/>
      <c r="N49" s="282"/>
      <c r="O49" s="282"/>
    </row>
    <row r="50" spans="1:15" s="327" customFormat="1" x14ac:dyDescent="0.2">
      <c r="A50" s="337"/>
      <c r="B50" s="337" t="s">
        <v>542</v>
      </c>
      <c r="C50" s="343"/>
      <c r="D50" s="342">
        <f>D19</f>
        <v>16652617680138.967</v>
      </c>
      <c r="E50" s="344" t="s">
        <v>589</v>
      </c>
      <c r="F50" s="385"/>
      <c r="J50" s="282"/>
      <c r="K50" s="282"/>
      <c r="L50" s="282"/>
      <c r="M50" s="282"/>
      <c r="N50" s="282"/>
      <c r="O50" s="282"/>
    </row>
    <row r="51" spans="1:15" s="327" customFormat="1" x14ac:dyDescent="0.2">
      <c r="A51" s="345"/>
      <c r="B51" s="337" t="s">
        <v>543</v>
      </c>
      <c r="C51" s="339"/>
      <c r="D51" s="346">
        <f>D40+D35</f>
        <v>16956385274323.312</v>
      </c>
      <c r="E51" s="341" t="s">
        <v>610</v>
      </c>
      <c r="F51" s="385"/>
      <c r="J51" s="282"/>
      <c r="K51" s="282"/>
      <c r="L51" s="282"/>
      <c r="M51" s="282"/>
      <c r="N51" s="282"/>
      <c r="O51" s="282"/>
    </row>
    <row r="52" spans="1:15" s="327" customFormat="1" x14ac:dyDescent="0.2">
      <c r="A52" s="337"/>
      <c r="B52" s="337" t="s">
        <v>544</v>
      </c>
      <c r="C52" s="339"/>
      <c r="D52" s="342">
        <f>0</f>
        <v>0</v>
      </c>
      <c r="E52" s="344"/>
      <c r="F52" s="385"/>
      <c r="J52" s="282"/>
      <c r="K52" s="282"/>
      <c r="L52" s="282"/>
      <c r="M52" s="282"/>
      <c r="N52" s="282"/>
      <c r="O52" s="282"/>
    </row>
    <row r="53" spans="1:15" s="327" customFormat="1" x14ac:dyDescent="0.2">
      <c r="A53" s="337"/>
      <c r="B53" s="337" t="s">
        <v>545</v>
      </c>
      <c r="C53" s="339"/>
      <c r="D53" s="342">
        <f>D13+D14</f>
        <v>528597181.81818181</v>
      </c>
      <c r="E53" s="341" t="s">
        <v>590</v>
      </c>
      <c r="F53" s="385"/>
      <c r="J53" s="282"/>
      <c r="K53" s="282"/>
      <c r="L53" s="282"/>
      <c r="M53" s="282"/>
      <c r="N53" s="282"/>
      <c r="O53" s="282"/>
    </row>
    <row r="54" spans="1:15" s="327" customFormat="1" x14ac:dyDescent="0.2">
      <c r="A54" s="337"/>
      <c r="B54" s="337" t="s">
        <v>546</v>
      </c>
      <c r="C54" s="339"/>
      <c r="D54" s="342">
        <f>D30+D29</f>
        <v>233877181.81818181</v>
      </c>
      <c r="E54" s="341" t="s">
        <v>609</v>
      </c>
      <c r="F54" s="385"/>
      <c r="J54" s="282"/>
      <c r="K54" s="282"/>
      <c r="L54" s="282"/>
      <c r="M54" s="282"/>
      <c r="N54" s="282"/>
      <c r="O54" s="282"/>
    </row>
    <row r="55" spans="1:15" s="327" customFormat="1" x14ac:dyDescent="0.2">
      <c r="A55" s="337"/>
      <c r="B55" s="337" t="s">
        <v>592</v>
      </c>
      <c r="C55" s="339"/>
      <c r="D55" s="347">
        <f>D49-D52</f>
        <v>15138743345580.879</v>
      </c>
      <c r="E55" s="341"/>
      <c r="F55" s="385"/>
      <c r="J55" s="282"/>
      <c r="K55" s="282"/>
      <c r="L55" s="282"/>
      <c r="M55" s="282"/>
      <c r="N55" s="282"/>
      <c r="O55" s="282"/>
    </row>
    <row r="56" spans="1:15" s="327" customFormat="1" x14ac:dyDescent="0.2">
      <c r="A56" s="337"/>
      <c r="B56" s="337" t="s">
        <v>593</v>
      </c>
      <c r="C56" s="339"/>
      <c r="D56" s="347">
        <f>D50-D53</f>
        <v>16652089082957.148</v>
      </c>
      <c r="E56" s="341"/>
      <c r="F56" s="385"/>
      <c r="J56" s="282"/>
      <c r="K56" s="282"/>
      <c r="L56" s="282"/>
      <c r="M56" s="282"/>
      <c r="N56" s="282"/>
      <c r="O56" s="282"/>
    </row>
    <row r="57" spans="1:15" s="327" customFormat="1" x14ac:dyDescent="0.2">
      <c r="A57" s="337"/>
      <c r="B57" s="337" t="s">
        <v>594</v>
      </c>
      <c r="C57" s="339"/>
      <c r="D57" s="348">
        <f>D51-D54</f>
        <v>16956151397141.494</v>
      </c>
      <c r="E57" s="341" t="s">
        <v>595</v>
      </c>
      <c r="F57" s="385"/>
      <c r="J57" s="282"/>
      <c r="K57" s="282"/>
      <c r="L57" s="282"/>
      <c r="M57" s="282"/>
      <c r="N57" s="282"/>
      <c r="O57" s="282"/>
    </row>
    <row r="58" spans="1:15" ht="25.15" customHeight="1" x14ac:dyDescent="0.2">
      <c r="A58" s="352" t="s">
        <v>524</v>
      </c>
      <c r="B58" s="352" t="s">
        <v>600</v>
      </c>
      <c r="C58" s="353"/>
      <c r="D58" s="354"/>
      <c r="E58" s="352"/>
      <c r="F58" s="293"/>
    </row>
    <row r="59" spans="1:15" ht="25.15" customHeight="1" x14ac:dyDescent="0.2">
      <c r="A59" s="331">
        <v>1</v>
      </c>
      <c r="B59" s="332" t="s">
        <v>611</v>
      </c>
      <c r="C59" s="297"/>
      <c r="D59" s="333"/>
      <c r="E59" s="334"/>
    </row>
    <row r="60" spans="1:15" ht="25.15" customHeight="1" x14ac:dyDescent="0.2">
      <c r="A60" s="335">
        <v>1.1000000000000001</v>
      </c>
      <c r="B60" s="316" t="s">
        <v>621</v>
      </c>
      <c r="C60" s="319" t="s">
        <v>502</v>
      </c>
      <c r="D60" s="318">
        <f>D61*D62*D63</f>
        <v>3063272727.272727</v>
      </c>
      <c r="E60" s="316" t="s">
        <v>687</v>
      </c>
    </row>
    <row r="61" spans="1:15" ht="25.15" customHeight="1" x14ac:dyDescent="0.2">
      <c r="A61" s="321" t="s">
        <v>528</v>
      </c>
      <c r="B61" s="312" t="s">
        <v>622</v>
      </c>
      <c r="C61" s="317" t="s">
        <v>539</v>
      </c>
      <c r="D61" s="321">
        <f>'PL1-Dữ liệu'!D11</f>
        <v>96</v>
      </c>
      <c r="E61" s="311" t="s">
        <v>567</v>
      </c>
    </row>
    <row r="62" spans="1:15" ht="31.5" x14ac:dyDescent="0.2">
      <c r="A62" s="321" t="s">
        <v>529</v>
      </c>
      <c r="B62" s="311" t="s">
        <v>623</v>
      </c>
      <c r="C62" s="317" t="s">
        <v>520</v>
      </c>
      <c r="D62" s="322">
        <f>8*30*3</f>
        <v>720</v>
      </c>
      <c r="E62" s="336" t="s">
        <v>706</v>
      </c>
    </row>
    <row r="63" spans="1:15" s="282" customFormat="1" ht="25.15" customHeight="1" x14ac:dyDescent="0.2">
      <c r="A63" s="321" t="s">
        <v>562</v>
      </c>
      <c r="B63" s="311" t="s">
        <v>447</v>
      </c>
      <c r="C63" s="317" t="s">
        <v>502</v>
      </c>
      <c r="D63" s="322">
        <f>'PL1-Dữ liệu'!D21</f>
        <v>44318.181818181816</v>
      </c>
      <c r="E63" s="311" t="s">
        <v>567</v>
      </c>
      <c r="F63" s="282" t="s">
        <v>93</v>
      </c>
    </row>
    <row r="64" spans="1:15" s="302" customFormat="1" ht="25.15" customHeight="1" x14ac:dyDescent="0.2">
      <c r="A64" s="335">
        <v>1.2</v>
      </c>
      <c r="B64" s="326" t="s">
        <v>624</v>
      </c>
      <c r="C64" s="324" t="s">
        <v>502</v>
      </c>
      <c r="D64" s="318">
        <f>D65*D66*D67</f>
        <v>1743709090.9090908</v>
      </c>
      <c r="E64" s="316" t="s">
        <v>687</v>
      </c>
      <c r="J64" s="320"/>
      <c r="K64" s="320"/>
      <c r="L64" s="320"/>
      <c r="M64" s="320"/>
      <c r="N64" s="320"/>
      <c r="O64" s="320"/>
    </row>
    <row r="65" spans="1:15" s="294" customFormat="1" ht="25.15" customHeight="1" x14ac:dyDescent="0.2">
      <c r="A65" s="321" t="s">
        <v>627</v>
      </c>
      <c r="B65" s="312" t="s">
        <v>622</v>
      </c>
      <c r="C65" s="317" t="s">
        <v>539</v>
      </c>
      <c r="D65" s="321">
        <f>D61</f>
        <v>96</v>
      </c>
      <c r="E65" s="311" t="s">
        <v>567</v>
      </c>
      <c r="J65" s="282"/>
      <c r="K65" s="282"/>
      <c r="L65" s="282"/>
      <c r="M65" s="282"/>
      <c r="N65" s="282"/>
      <c r="O65" s="282"/>
    </row>
    <row r="66" spans="1:15" s="294" customFormat="1" ht="31.5" x14ac:dyDescent="0.2">
      <c r="A66" s="321" t="s">
        <v>628</v>
      </c>
      <c r="B66" s="311" t="s">
        <v>626</v>
      </c>
      <c r="C66" s="317" t="s">
        <v>520</v>
      </c>
      <c r="D66" s="322">
        <f>8*15*5</f>
        <v>600</v>
      </c>
      <c r="E66" s="336" t="s">
        <v>707</v>
      </c>
      <c r="J66" s="282"/>
      <c r="K66" s="282"/>
      <c r="L66" s="282"/>
      <c r="M66" s="282"/>
      <c r="N66" s="282"/>
      <c r="O66" s="282"/>
    </row>
    <row r="67" spans="1:15" s="282" customFormat="1" ht="25.15" customHeight="1" x14ac:dyDescent="0.2">
      <c r="A67" s="321" t="s">
        <v>629</v>
      </c>
      <c r="B67" s="311" t="s">
        <v>625</v>
      </c>
      <c r="C67" s="317" t="s">
        <v>502</v>
      </c>
      <c r="D67" s="322">
        <f>'PL1-Dữ liệu'!D22</f>
        <v>30272.727272727272</v>
      </c>
      <c r="E67" s="311" t="s">
        <v>567</v>
      </c>
      <c r="F67" s="385"/>
      <c r="G67" s="327"/>
      <c r="H67" s="327"/>
      <c r="I67" s="327"/>
    </row>
    <row r="68" spans="1:15" s="282" customFormat="1" ht="37.15" customHeight="1" x14ac:dyDescent="0.2">
      <c r="A68" s="331">
        <v>2</v>
      </c>
      <c r="B68" s="296" t="s">
        <v>612</v>
      </c>
      <c r="C68" s="297"/>
      <c r="D68" s="298"/>
      <c r="E68" s="334"/>
      <c r="F68" s="385"/>
      <c r="G68" s="327"/>
      <c r="H68" s="327"/>
      <c r="I68" s="327"/>
    </row>
    <row r="69" spans="1:15" s="282" customFormat="1" ht="31.5" x14ac:dyDescent="0.2">
      <c r="A69" s="335" t="s">
        <v>613</v>
      </c>
      <c r="B69" s="316" t="s">
        <v>614</v>
      </c>
      <c r="C69" s="319" t="s">
        <v>502</v>
      </c>
      <c r="D69" s="318">
        <f>D70*D71</f>
        <v>140000000</v>
      </c>
      <c r="E69" s="316" t="s">
        <v>687</v>
      </c>
      <c r="F69" s="385"/>
      <c r="G69" s="327"/>
      <c r="H69" s="327"/>
      <c r="I69" s="327"/>
    </row>
    <row r="70" spans="1:15" s="282" customFormat="1" ht="31.5" x14ac:dyDescent="0.2">
      <c r="A70" s="321" t="s">
        <v>527</v>
      </c>
      <c r="B70" s="312" t="s">
        <v>620</v>
      </c>
      <c r="C70" s="317" t="s">
        <v>502</v>
      </c>
      <c r="D70" s="322">
        <f>'PL1-Dữ liệu'!D23</f>
        <v>70000000</v>
      </c>
      <c r="E70" s="311" t="s">
        <v>567</v>
      </c>
      <c r="F70" s="385"/>
      <c r="G70" s="327"/>
      <c r="H70" s="327"/>
      <c r="I70" s="327"/>
    </row>
    <row r="71" spans="1:15" s="282" customFormat="1" ht="21" customHeight="1" x14ac:dyDescent="0.2">
      <c r="A71" s="321" t="s">
        <v>579</v>
      </c>
      <c r="B71" s="311" t="s">
        <v>619</v>
      </c>
      <c r="C71" s="317" t="s">
        <v>574</v>
      </c>
      <c r="D71" s="321">
        <v>2</v>
      </c>
      <c r="E71" s="311" t="s">
        <v>698</v>
      </c>
      <c r="F71" s="385"/>
      <c r="G71" s="327"/>
      <c r="H71" s="327"/>
      <c r="I71" s="327"/>
    </row>
    <row r="72" spans="1:15" ht="22.15" customHeight="1" x14ac:dyDescent="0.2">
      <c r="A72" s="335">
        <v>2.2000000000000002</v>
      </c>
      <c r="B72" s="316" t="s">
        <v>621</v>
      </c>
      <c r="C72" s="319" t="s">
        <v>502</v>
      </c>
      <c r="D72" s="318">
        <f>D73*D74*D75</f>
        <v>3063272727.272727</v>
      </c>
      <c r="E72" s="316" t="s">
        <v>687</v>
      </c>
    </row>
    <row r="73" spans="1:15" ht="22.15" customHeight="1" x14ac:dyDescent="0.2">
      <c r="A73" s="321" t="s">
        <v>527</v>
      </c>
      <c r="B73" s="312" t="s">
        <v>622</v>
      </c>
      <c r="C73" s="317" t="s">
        <v>539</v>
      </c>
      <c r="D73" s="321">
        <f>'PL1-Dữ liệu'!D11</f>
        <v>96</v>
      </c>
      <c r="E73" s="311" t="s">
        <v>567</v>
      </c>
    </row>
    <row r="74" spans="1:15" ht="31.5" x14ac:dyDescent="0.2">
      <c r="A74" s="321" t="s">
        <v>579</v>
      </c>
      <c r="B74" s="311" t="s">
        <v>623</v>
      </c>
      <c r="C74" s="317" t="s">
        <v>520</v>
      </c>
      <c r="D74" s="322">
        <f>8*30*3</f>
        <v>720</v>
      </c>
      <c r="E74" s="336" t="s">
        <v>706</v>
      </c>
    </row>
    <row r="75" spans="1:15" s="282" customFormat="1" ht="22.15" customHeight="1" x14ac:dyDescent="0.2">
      <c r="A75" s="321" t="s">
        <v>564</v>
      </c>
      <c r="B75" s="311" t="s">
        <v>447</v>
      </c>
      <c r="C75" s="317" t="s">
        <v>502</v>
      </c>
      <c r="D75" s="322">
        <f>'PL1-Dữ liệu'!D21</f>
        <v>44318.181818181816</v>
      </c>
      <c r="E75" s="311" t="s">
        <v>567</v>
      </c>
      <c r="F75" s="282" t="s">
        <v>93</v>
      </c>
    </row>
    <row r="76" spans="1:15" s="302" customFormat="1" ht="22.15" customHeight="1" x14ac:dyDescent="0.2">
      <c r="A76" s="335">
        <v>2.2999999999999998</v>
      </c>
      <c r="B76" s="326" t="s">
        <v>624</v>
      </c>
      <c r="C76" s="324" t="s">
        <v>502</v>
      </c>
      <c r="D76" s="318">
        <f>D77*D78*D79</f>
        <v>1743709090.9090908</v>
      </c>
      <c r="E76" s="316" t="s">
        <v>687</v>
      </c>
      <c r="J76" s="320"/>
      <c r="K76" s="320"/>
      <c r="L76" s="320"/>
      <c r="M76" s="320"/>
      <c r="N76" s="320"/>
      <c r="O76" s="320"/>
    </row>
    <row r="77" spans="1:15" s="294" customFormat="1" ht="22.15" customHeight="1" x14ac:dyDescent="0.2">
      <c r="A77" s="321" t="s">
        <v>515</v>
      </c>
      <c r="B77" s="312" t="s">
        <v>622</v>
      </c>
      <c r="C77" s="317" t="s">
        <v>539</v>
      </c>
      <c r="D77" s="321">
        <f>D73</f>
        <v>96</v>
      </c>
      <c r="E77" s="311" t="s">
        <v>567</v>
      </c>
      <c r="J77" s="282"/>
      <c r="K77" s="282"/>
      <c r="L77" s="282"/>
      <c r="M77" s="282"/>
      <c r="N77" s="282"/>
      <c r="O77" s="282"/>
    </row>
    <row r="78" spans="1:15" s="294" customFormat="1" ht="29.45" customHeight="1" x14ac:dyDescent="0.2">
      <c r="A78" s="321" t="s">
        <v>516</v>
      </c>
      <c r="B78" s="311" t="s">
        <v>626</v>
      </c>
      <c r="C78" s="317" t="s">
        <v>520</v>
      </c>
      <c r="D78" s="322">
        <f>8*15*5</f>
        <v>600</v>
      </c>
      <c r="E78" s="336" t="s">
        <v>707</v>
      </c>
      <c r="J78" s="282"/>
      <c r="K78" s="282"/>
      <c r="L78" s="282"/>
      <c r="M78" s="282"/>
      <c r="N78" s="282"/>
      <c r="O78" s="282"/>
    </row>
    <row r="79" spans="1:15" s="282" customFormat="1" ht="22.15" customHeight="1" x14ac:dyDescent="0.2">
      <c r="A79" s="321" t="s">
        <v>516</v>
      </c>
      <c r="B79" s="311" t="s">
        <v>625</v>
      </c>
      <c r="C79" s="317" t="s">
        <v>502</v>
      </c>
      <c r="D79" s="322">
        <f>'PL1-Dữ liệu'!D22</f>
        <v>30272.727272727272</v>
      </c>
      <c r="E79" s="311" t="s">
        <v>567</v>
      </c>
      <c r="F79" s="385"/>
      <c r="G79" s="327"/>
      <c r="H79" s="327"/>
      <c r="I79" s="327"/>
    </row>
    <row r="80" spans="1:15" s="376" customFormat="1" ht="37.15" customHeight="1" x14ac:dyDescent="0.2">
      <c r="A80" s="371"/>
      <c r="B80" s="370" t="s">
        <v>708</v>
      </c>
      <c r="C80" s="372"/>
      <c r="D80" s="373"/>
      <c r="E80" s="374"/>
      <c r="F80" s="375"/>
      <c r="G80" s="375"/>
      <c r="H80" s="375"/>
      <c r="I80" s="375"/>
    </row>
    <row r="81" spans="1:15" ht="24.6" customHeight="1" x14ac:dyDescent="0.2">
      <c r="A81" s="331">
        <v>3</v>
      </c>
      <c r="B81" s="332" t="s">
        <v>630</v>
      </c>
      <c r="C81" s="297"/>
      <c r="D81" s="333"/>
      <c r="E81" s="334"/>
    </row>
    <row r="82" spans="1:15" ht="31.5" x14ac:dyDescent="0.2">
      <c r="A82" s="335">
        <v>3.1</v>
      </c>
      <c r="B82" s="316" t="s">
        <v>631</v>
      </c>
      <c r="C82" s="319" t="s">
        <v>502</v>
      </c>
      <c r="D82" s="318">
        <f>D83*D84*D85</f>
        <v>255272727.27272725</v>
      </c>
      <c r="E82" s="316" t="s">
        <v>687</v>
      </c>
    </row>
    <row r="83" spans="1:15" ht="23.45" customHeight="1" x14ac:dyDescent="0.2">
      <c r="A83" s="321" t="s">
        <v>637</v>
      </c>
      <c r="B83" s="312" t="s">
        <v>634</v>
      </c>
      <c r="C83" s="317" t="s">
        <v>539</v>
      </c>
      <c r="D83" s="321">
        <v>4</v>
      </c>
      <c r="E83" s="311" t="s">
        <v>635</v>
      </c>
    </row>
    <row r="84" spans="1:15" ht="31.5" x14ac:dyDescent="0.2">
      <c r="A84" s="321" t="s">
        <v>638</v>
      </c>
      <c r="B84" s="311" t="s">
        <v>623</v>
      </c>
      <c r="C84" s="317" t="s">
        <v>520</v>
      </c>
      <c r="D84" s="322">
        <f>8*60*3</f>
        <v>1440</v>
      </c>
      <c r="E84" s="336" t="s">
        <v>709</v>
      </c>
    </row>
    <row r="85" spans="1:15" s="282" customFormat="1" ht="23.45" customHeight="1" x14ac:dyDescent="0.2">
      <c r="A85" s="321" t="s">
        <v>639</v>
      </c>
      <c r="B85" s="311" t="s">
        <v>447</v>
      </c>
      <c r="C85" s="317" t="s">
        <v>502</v>
      </c>
      <c r="D85" s="322">
        <f>'PL1-Dữ liệu'!D21</f>
        <v>44318.181818181816</v>
      </c>
      <c r="E85" s="311" t="s">
        <v>567</v>
      </c>
      <c r="F85" s="282" t="s">
        <v>93</v>
      </c>
    </row>
    <row r="86" spans="1:15" ht="31.5" x14ac:dyDescent="0.2">
      <c r="A86" s="335">
        <v>3.2</v>
      </c>
      <c r="B86" s="316" t="s">
        <v>632</v>
      </c>
      <c r="C86" s="319" t="s">
        <v>502</v>
      </c>
      <c r="D86" s="318">
        <f>D87*D88*D89</f>
        <v>989181818.18181813</v>
      </c>
      <c r="E86" s="316" t="s">
        <v>687</v>
      </c>
    </row>
    <row r="87" spans="1:15" ht="22.9" customHeight="1" x14ac:dyDescent="0.2">
      <c r="A87" s="321" t="s">
        <v>581</v>
      </c>
      <c r="B87" s="312" t="s">
        <v>634</v>
      </c>
      <c r="C87" s="317" t="s">
        <v>539</v>
      </c>
      <c r="D87" s="321">
        <v>62</v>
      </c>
      <c r="E87" s="311" t="s">
        <v>635</v>
      </c>
    </row>
    <row r="88" spans="1:15" ht="47.25" x14ac:dyDescent="0.2">
      <c r="A88" s="321" t="s">
        <v>582</v>
      </c>
      <c r="B88" s="311" t="s">
        <v>623</v>
      </c>
      <c r="C88" s="317" t="s">
        <v>520</v>
      </c>
      <c r="D88" s="322">
        <f>D62*50%</f>
        <v>360</v>
      </c>
      <c r="E88" s="336" t="s">
        <v>715</v>
      </c>
    </row>
    <row r="89" spans="1:15" s="282" customFormat="1" ht="22.9" customHeight="1" x14ac:dyDescent="0.2">
      <c r="A89" s="321" t="s">
        <v>583</v>
      </c>
      <c r="B89" s="311" t="s">
        <v>447</v>
      </c>
      <c r="C89" s="317" t="s">
        <v>502</v>
      </c>
      <c r="D89" s="322">
        <f>'PL1-Dữ liệu'!D21</f>
        <v>44318.181818181816</v>
      </c>
      <c r="E89" s="311" t="s">
        <v>567</v>
      </c>
      <c r="F89" s="282" t="s">
        <v>93</v>
      </c>
    </row>
    <row r="90" spans="1:15" ht="22.9" customHeight="1" x14ac:dyDescent="0.2">
      <c r="A90" s="335">
        <v>3.3</v>
      </c>
      <c r="B90" s="316" t="s">
        <v>633</v>
      </c>
      <c r="C90" s="319" t="s">
        <v>502</v>
      </c>
      <c r="D90" s="318">
        <f>D91*D92*D93</f>
        <v>21272727.272727273</v>
      </c>
      <c r="E90" s="316" t="s">
        <v>687</v>
      </c>
    </row>
    <row r="91" spans="1:15" ht="31.5" x14ac:dyDescent="0.2">
      <c r="A91" s="321" t="s">
        <v>585</v>
      </c>
      <c r="B91" s="312" t="s">
        <v>718</v>
      </c>
      <c r="C91" s="317" t="s">
        <v>539</v>
      </c>
      <c r="D91" s="322">
        <v>30</v>
      </c>
      <c r="E91" s="311" t="s">
        <v>710</v>
      </c>
    </row>
    <row r="92" spans="1:15" ht="31.5" x14ac:dyDescent="0.2">
      <c r="A92" s="321" t="s">
        <v>586</v>
      </c>
      <c r="B92" s="311" t="s">
        <v>636</v>
      </c>
      <c r="C92" s="317" t="s">
        <v>520</v>
      </c>
      <c r="D92" s="322">
        <v>16</v>
      </c>
      <c r="E92" s="336" t="s">
        <v>713</v>
      </c>
    </row>
    <row r="93" spans="1:15" s="282" customFormat="1" ht="24.6" customHeight="1" x14ac:dyDescent="0.2">
      <c r="A93" s="321" t="s">
        <v>563</v>
      </c>
      <c r="B93" s="311" t="s">
        <v>447</v>
      </c>
      <c r="C93" s="317" t="s">
        <v>502</v>
      </c>
      <c r="D93" s="322">
        <f>'PL1-Dữ liệu'!D21</f>
        <v>44318.181818181816</v>
      </c>
      <c r="E93" s="311" t="s">
        <v>567</v>
      </c>
      <c r="F93" s="282" t="s">
        <v>93</v>
      </c>
    </row>
    <row r="94" spans="1:15" s="302" customFormat="1" ht="24.6" customHeight="1" x14ac:dyDescent="0.2">
      <c r="A94" s="335">
        <v>3.4</v>
      </c>
      <c r="B94" s="326" t="s">
        <v>624</v>
      </c>
      <c r="C94" s="324" t="s">
        <v>502</v>
      </c>
      <c r="D94" s="318">
        <f>(D95*D97+D96*D98)*D99</f>
        <v>520690909.09090906</v>
      </c>
      <c r="E94" s="316" t="s">
        <v>687</v>
      </c>
      <c r="J94" s="320"/>
      <c r="K94" s="320"/>
      <c r="L94" s="320"/>
      <c r="M94" s="320"/>
      <c r="N94" s="320"/>
      <c r="O94" s="320"/>
    </row>
    <row r="95" spans="1:15" s="294" customFormat="1" ht="24.6" customHeight="1" x14ac:dyDescent="0.2">
      <c r="A95" s="321" t="s">
        <v>603</v>
      </c>
      <c r="B95" s="312" t="s">
        <v>716</v>
      </c>
      <c r="C95" s="317" t="s">
        <v>539</v>
      </c>
      <c r="D95" s="321">
        <f>D83</f>
        <v>4</v>
      </c>
      <c r="E95" s="311" t="s">
        <v>640</v>
      </c>
      <c r="J95" s="282"/>
      <c r="K95" s="282"/>
      <c r="L95" s="282"/>
      <c r="M95" s="282"/>
      <c r="N95" s="282"/>
      <c r="O95" s="282"/>
    </row>
    <row r="96" spans="1:15" s="294" customFormat="1" ht="24.6" customHeight="1" x14ac:dyDescent="0.2">
      <c r="A96" s="321" t="s">
        <v>604</v>
      </c>
      <c r="B96" s="312" t="s">
        <v>717</v>
      </c>
      <c r="C96" s="317" t="s">
        <v>539</v>
      </c>
      <c r="D96" s="321">
        <f>D87</f>
        <v>62</v>
      </c>
      <c r="E96" s="311" t="s">
        <v>641</v>
      </c>
      <c r="J96" s="282"/>
      <c r="K96" s="282"/>
      <c r="L96" s="282"/>
      <c r="M96" s="282"/>
      <c r="N96" s="282"/>
      <c r="O96" s="282"/>
    </row>
    <row r="97" spans="1:15" s="294" customFormat="1" ht="31.5" x14ac:dyDescent="0.2">
      <c r="A97" s="321" t="s">
        <v>605</v>
      </c>
      <c r="B97" s="311" t="s">
        <v>642</v>
      </c>
      <c r="C97" s="317" t="s">
        <v>520</v>
      </c>
      <c r="D97" s="322">
        <f>8*30*5</f>
        <v>1200</v>
      </c>
      <c r="E97" s="336" t="s">
        <v>711</v>
      </c>
      <c r="J97" s="282"/>
      <c r="K97" s="282"/>
      <c r="L97" s="282"/>
      <c r="M97" s="282"/>
      <c r="N97" s="282"/>
      <c r="O97" s="282"/>
    </row>
    <row r="98" spans="1:15" s="294" customFormat="1" ht="31.5" x14ac:dyDescent="0.2">
      <c r="A98" s="321" t="s">
        <v>606</v>
      </c>
      <c r="B98" s="311" t="s">
        <v>643</v>
      </c>
      <c r="C98" s="317" t="s">
        <v>520</v>
      </c>
      <c r="D98" s="322">
        <f>8*5*5</f>
        <v>200</v>
      </c>
      <c r="E98" s="336" t="s">
        <v>712</v>
      </c>
      <c r="J98" s="282"/>
      <c r="K98" s="282"/>
      <c r="L98" s="282"/>
      <c r="M98" s="282"/>
      <c r="N98" s="282"/>
      <c r="O98" s="282"/>
    </row>
    <row r="99" spans="1:15" s="282" customFormat="1" ht="22.9" customHeight="1" x14ac:dyDescent="0.2">
      <c r="A99" s="321" t="s">
        <v>607</v>
      </c>
      <c r="B99" s="311" t="s">
        <v>625</v>
      </c>
      <c r="C99" s="317" t="s">
        <v>502</v>
      </c>
      <c r="D99" s="322">
        <f>'PL1-Dữ liệu'!D22</f>
        <v>30272.727272727272</v>
      </c>
      <c r="E99" s="311" t="s">
        <v>567</v>
      </c>
      <c r="F99" s="385"/>
      <c r="G99" s="327"/>
      <c r="H99" s="327"/>
      <c r="I99" s="327"/>
    </row>
    <row r="100" spans="1:15" s="282" customFormat="1" ht="31.5" x14ac:dyDescent="0.2">
      <c r="A100" s="335">
        <v>3.5</v>
      </c>
      <c r="B100" s="316" t="s">
        <v>537</v>
      </c>
      <c r="C100" s="317" t="s">
        <v>502</v>
      </c>
      <c r="D100" s="318">
        <f>'PL3-VBPL'!D4+'PL3-VBPL'!D10</f>
        <v>351324454.54545456</v>
      </c>
      <c r="E100" s="311" t="s">
        <v>601</v>
      </c>
    </row>
    <row r="101" spans="1:15" s="327" customFormat="1" x14ac:dyDescent="0.2">
      <c r="A101" s="337"/>
      <c r="B101" s="338" t="s">
        <v>541</v>
      </c>
      <c r="C101" s="339"/>
      <c r="D101" s="340"/>
      <c r="E101" s="341"/>
      <c r="F101" s="385"/>
      <c r="J101" s="282"/>
      <c r="K101" s="282"/>
      <c r="L101" s="282"/>
      <c r="M101" s="282"/>
      <c r="N101" s="282"/>
      <c r="O101" s="282"/>
    </row>
    <row r="102" spans="1:15" s="327" customFormat="1" x14ac:dyDescent="0.2">
      <c r="A102" s="337"/>
      <c r="B102" s="337" t="s">
        <v>544</v>
      </c>
      <c r="C102" s="339"/>
      <c r="D102" s="342">
        <f>D60+D64</f>
        <v>4806981818.181818</v>
      </c>
      <c r="E102" s="344"/>
      <c r="F102" s="385"/>
      <c r="J102" s="282"/>
      <c r="K102" s="282"/>
      <c r="L102" s="282"/>
      <c r="M102" s="282"/>
      <c r="N102" s="282"/>
      <c r="O102" s="282"/>
    </row>
    <row r="103" spans="1:15" s="327" customFormat="1" x14ac:dyDescent="0.2">
      <c r="A103" s="337"/>
      <c r="B103" s="337" t="s">
        <v>545</v>
      </c>
      <c r="C103" s="339"/>
      <c r="D103" s="342">
        <f>D69+D72+D76</f>
        <v>4946981818.181818</v>
      </c>
      <c r="E103" s="341"/>
      <c r="F103" s="385"/>
      <c r="J103" s="282"/>
      <c r="K103" s="282"/>
      <c r="L103" s="282"/>
      <c r="M103" s="282"/>
      <c r="N103" s="282"/>
      <c r="O103" s="282"/>
    </row>
    <row r="104" spans="1:15" s="327" customFormat="1" x14ac:dyDescent="0.2">
      <c r="A104" s="337"/>
      <c r="B104" s="337" t="s">
        <v>546</v>
      </c>
      <c r="C104" s="339"/>
      <c r="D104" s="348">
        <f>D82+D86+D90+D94+D100</f>
        <v>2137742636.3636363</v>
      </c>
      <c r="E104" s="341" t="s">
        <v>595</v>
      </c>
      <c r="F104" s="385"/>
      <c r="J104" s="282"/>
      <c r="K104" s="282"/>
      <c r="L104" s="282"/>
      <c r="M104" s="282"/>
      <c r="N104" s="282"/>
      <c r="O104" s="282"/>
    </row>
    <row r="105" spans="1:15" ht="31.5" x14ac:dyDescent="0.2">
      <c r="A105" s="352" t="s">
        <v>644</v>
      </c>
      <c r="B105" s="352" t="s">
        <v>719</v>
      </c>
      <c r="C105" s="353"/>
      <c r="D105" s="354"/>
      <c r="E105" s="352"/>
      <c r="F105" s="293"/>
    </row>
    <row r="106" spans="1:15" ht="26.45" customHeight="1" x14ac:dyDescent="0.2">
      <c r="A106" s="331">
        <v>1</v>
      </c>
      <c r="B106" s="332" t="s">
        <v>645</v>
      </c>
      <c r="C106" s="389" t="s">
        <v>720</v>
      </c>
      <c r="D106" s="390"/>
      <c r="E106" s="391"/>
    </row>
    <row r="107" spans="1:15" ht="26.45" customHeight="1" x14ac:dyDescent="0.2">
      <c r="A107" s="331">
        <v>2</v>
      </c>
      <c r="B107" s="332" t="s">
        <v>646</v>
      </c>
      <c r="C107" s="297"/>
      <c r="D107" s="333"/>
      <c r="E107" s="334"/>
    </row>
    <row r="108" spans="1:15" ht="31.5" x14ac:dyDescent="0.2">
      <c r="A108" s="335">
        <v>2.1</v>
      </c>
      <c r="B108" s="316" t="s">
        <v>661</v>
      </c>
      <c r="C108" s="319" t="s">
        <v>502</v>
      </c>
      <c r="D108" s="318">
        <f>D109*D110*D111</f>
        <v>781772727.27272725</v>
      </c>
      <c r="E108" s="316" t="s">
        <v>687</v>
      </c>
    </row>
    <row r="109" spans="1:15" ht="20.45" customHeight="1" x14ac:dyDescent="0.2">
      <c r="A109" s="321" t="s">
        <v>665</v>
      </c>
      <c r="B109" s="312" t="s">
        <v>660</v>
      </c>
      <c r="C109" s="317" t="s">
        <v>539</v>
      </c>
      <c r="D109" s="321">
        <f>'PL1-Dữ liệu'!D15+'PL1-Dữ liệu'!D16</f>
        <v>49</v>
      </c>
      <c r="E109" s="311" t="s">
        <v>567</v>
      </c>
    </row>
    <row r="110" spans="1:15" ht="31.5" x14ac:dyDescent="0.2">
      <c r="A110" s="321" t="s">
        <v>666</v>
      </c>
      <c r="B110" s="311" t="s">
        <v>623</v>
      </c>
      <c r="C110" s="317" t="s">
        <v>520</v>
      </c>
      <c r="D110" s="322">
        <f>8*3*15</f>
        <v>360</v>
      </c>
      <c r="E110" s="336" t="s">
        <v>714</v>
      </c>
    </row>
    <row r="111" spans="1:15" s="282" customFormat="1" ht="22.15" customHeight="1" x14ac:dyDescent="0.2">
      <c r="A111" s="321" t="s">
        <v>667</v>
      </c>
      <c r="B111" s="311" t="s">
        <v>447</v>
      </c>
      <c r="C111" s="317" t="s">
        <v>502</v>
      </c>
      <c r="D111" s="322">
        <f>'PL1-Dữ liệu'!D21</f>
        <v>44318.181818181816</v>
      </c>
      <c r="E111" s="311" t="s">
        <v>567</v>
      </c>
      <c r="F111" s="282" t="s">
        <v>93</v>
      </c>
    </row>
    <row r="112" spans="1:15" ht="31.5" x14ac:dyDescent="0.2">
      <c r="A112" s="335">
        <v>2.2000000000000002</v>
      </c>
      <c r="B112" s="316" t="s">
        <v>662</v>
      </c>
      <c r="C112" s="319" t="s">
        <v>502</v>
      </c>
      <c r="D112" s="318">
        <f>(D114+D115)*D113</f>
        <v>20650000000</v>
      </c>
      <c r="E112" s="316" t="s">
        <v>687</v>
      </c>
    </row>
    <row r="113" spans="1:15" ht="21" customHeight="1" x14ac:dyDescent="0.2">
      <c r="A113" s="321" t="s">
        <v>527</v>
      </c>
      <c r="B113" s="312" t="s">
        <v>663</v>
      </c>
      <c r="C113" s="317" t="s">
        <v>539</v>
      </c>
      <c r="D113" s="322">
        <f>'PL1-Dữ liệu'!D17</f>
        <v>10</v>
      </c>
      <c r="E113" s="311" t="s">
        <v>567</v>
      </c>
    </row>
    <row r="114" spans="1:15" ht="21" customHeight="1" x14ac:dyDescent="0.2">
      <c r="A114" s="321" t="s">
        <v>579</v>
      </c>
      <c r="B114" s="311" t="s">
        <v>664</v>
      </c>
      <c r="C114" s="317" t="s">
        <v>502</v>
      </c>
      <c r="D114" s="322">
        <f>'PL1-Dữ liệu'!D24</f>
        <v>25000000</v>
      </c>
      <c r="E114" s="311" t="s">
        <v>567</v>
      </c>
    </row>
    <row r="115" spans="1:15" ht="49.9" customHeight="1" x14ac:dyDescent="0.2">
      <c r="A115" s="321" t="s">
        <v>564</v>
      </c>
      <c r="B115" s="311" t="s">
        <v>721</v>
      </c>
      <c r="C115" s="317" t="s">
        <v>502</v>
      </c>
      <c r="D115" s="322">
        <f>12*((100000000+30000000) + 20000000 + 20000000)</f>
        <v>2040000000</v>
      </c>
      <c r="E115" s="336" t="s">
        <v>722</v>
      </c>
      <c r="F115" s="385" t="s">
        <v>723</v>
      </c>
    </row>
    <row r="116" spans="1:15" s="302" customFormat="1" ht="25.15" customHeight="1" x14ac:dyDescent="0.2">
      <c r="A116" s="335">
        <v>2.2999999999999998</v>
      </c>
      <c r="B116" s="326" t="s">
        <v>624</v>
      </c>
      <c r="C116" s="324" t="s">
        <v>502</v>
      </c>
      <c r="D116" s="318">
        <f>D117*D118*D119</f>
        <v>296672727.27272725</v>
      </c>
      <c r="E116" s="316" t="s">
        <v>687</v>
      </c>
      <c r="J116" s="320"/>
      <c r="K116" s="320"/>
      <c r="L116" s="320"/>
      <c r="M116" s="320"/>
      <c r="N116" s="320"/>
      <c r="O116" s="320"/>
    </row>
    <row r="117" spans="1:15" s="294" customFormat="1" ht="25.15" customHeight="1" x14ac:dyDescent="0.2">
      <c r="A117" s="321" t="s">
        <v>515</v>
      </c>
      <c r="B117" s="312" t="s">
        <v>647</v>
      </c>
      <c r="C117" s="317" t="s">
        <v>539</v>
      </c>
      <c r="D117" s="321">
        <f>D109</f>
        <v>49</v>
      </c>
      <c r="E117" s="311" t="s">
        <v>640</v>
      </c>
      <c r="J117" s="282"/>
      <c r="K117" s="282"/>
      <c r="L117" s="282"/>
      <c r="M117" s="282"/>
      <c r="N117" s="282"/>
      <c r="O117" s="282"/>
    </row>
    <row r="118" spans="1:15" s="294" customFormat="1" ht="31.5" x14ac:dyDescent="0.2">
      <c r="A118" s="321" t="s">
        <v>516</v>
      </c>
      <c r="B118" s="311" t="s">
        <v>643</v>
      </c>
      <c r="C118" s="317" t="s">
        <v>520</v>
      </c>
      <c r="D118" s="322">
        <f>8*5*5</f>
        <v>200</v>
      </c>
      <c r="E118" s="336" t="s">
        <v>712</v>
      </c>
      <c r="J118" s="282"/>
      <c r="K118" s="282"/>
      <c r="L118" s="282"/>
      <c r="M118" s="282"/>
      <c r="N118" s="282"/>
      <c r="O118" s="282"/>
    </row>
    <row r="119" spans="1:15" s="282" customFormat="1" ht="25.15" customHeight="1" x14ac:dyDescent="0.2">
      <c r="A119" s="321" t="s">
        <v>530</v>
      </c>
      <c r="B119" s="311" t="s">
        <v>625</v>
      </c>
      <c r="C119" s="317" t="s">
        <v>502</v>
      </c>
      <c r="D119" s="322">
        <f>'PL1-Dữ liệu'!D22</f>
        <v>30272.727272727272</v>
      </c>
      <c r="E119" s="311" t="s">
        <v>567</v>
      </c>
      <c r="F119" s="385"/>
      <c r="G119" s="327"/>
      <c r="H119" s="327"/>
      <c r="I119" s="327"/>
    </row>
    <row r="120" spans="1:15" s="282" customFormat="1" ht="31.5" x14ac:dyDescent="0.2">
      <c r="A120" s="335">
        <v>2.4</v>
      </c>
      <c r="B120" s="316" t="s">
        <v>537</v>
      </c>
      <c r="C120" s="317" t="s">
        <v>502</v>
      </c>
      <c r="D120" s="318">
        <f>'PL3-VBPL'!D4</f>
        <v>223240818.18181819</v>
      </c>
      <c r="E120" s="311" t="s">
        <v>602</v>
      </c>
    </row>
    <row r="121" spans="1:15" s="327" customFormat="1" x14ac:dyDescent="0.2">
      <c r="A121" s="337"/>
      <c r="B121" s="338" t="s">
        <v>541</v>
      </c>
      <c r="C121" s="339"/>
      <c r="D121" s="340"/>
      <c r="E121" s="341"/>
      <c r="F121" s="385"/>
      <c r="J121" s="282"/>
      <c r="K121" s="282"/>
      <c r="L121" s="282"/>
      <c r="M121" s="282"/>
      <c r="N121" s="282"/>
      <c r="O121" s="282"/>
    </row>
    <row r="122" spans="1:15" s="327" customFormat="1" x14ac:dyDescent="0.2">
      <c r="A122" s="337"/>
      <c r="B122" s="337" t="s">
        <v>544</v>
      </c>
      <c r="C122" s="339"/>
      <c r="D122" s="342">
        <v>0</v>
      </c>
      <c r="E122" s="344"/>
      <c r="F122" s="385"/>
      <c r="J122" s="282"/>
      <c r="K122" s="282"/>
      <c r="L122" s="282"/>
      <c r="M122" s="282"/>
      <c r="N122" s="282"/>
      <c r="O122" s="282"/>
    </row>
    <row r="123" spans="1:15" s="327" customFormat="1" x14ac:dyDescent="0.2">
      <c r="A123" s="337"/>
      <c r="B123" s="337" t="s">
        <v>545</v>
      </c>
      <c r="C123" s="339"/>
      <c r="D123" s="348">
        <f>D108+D112+D116+D120</f>
        <v>21951686272.727276</v>
      </c>
      <c r="E123" s="341" t="s">
        <v>595</v>
      </c>
      <c r="F123" s="385"/>
      <c r="J123" s="282"/>
      <c r="K123" s="282"/>
      <c r="L123" s="282"/>
      <c r="M123" s="282"/>
      <c r="N123" s="282"/>
      <c r="O123" s="282"/>
    </row>
    <row r="124" spans="1:15" ht="31.5" x14ac:dyDescent="0.2">
      <c r="A124" s="352" t="s">
        <v>668</v>
      </c>
      <c r="B124" s="352" t="s">
        <v>671</v>
      </c>
      <c r="C124" s="353"/>
      <c r="D124" s="354"/>
      <c r="E124" s="352"/>
      <c r="F124" s="293"/>
    </row>
    <row r="125" spans="1:15" ht="24" customHeight="1" x14ac:dyDescent="0.2">
      <c r="A125" s="331">
        <v>1</v>
      </c>
      <c r="B125" s="332" t="s">
        <v>669</v>
      </c>
      <c r="C125" s="389" t="s">
        <v>720</v>
      </c>
      <c r="D125" s="390"/>
      <c r="E125" s="391"/>
    </row>
    <row r="126" spans="1:15" ht="24" customHeight="1" x14ac:dyDescent="0.2">
      <c r="A126" s="331">
        <v>2</v>
      </c>
      <c r="B126" s="332" t="s">
        <v>670</v>
      </c>
      <c r="C126" s="297"/>
      <c r="D126" s="333"/>
      <c r="E126" s="334"/>
    </row>
    <row r="127" spans="1:15" ht="31.5" x14ac:dyDescent="0.2">
      <c r="A127" s="335">
        <v>2.1</v>
      </c>
      <c r="B127" s="316" t="s">
        <v>661</v>
      </c>
      <c r="C127" s="319" t="s">
        <v>502</v>
      </c>
      <c r="D127" s="318">
        <f>D128*D129*D130</f>
        <v>63818181.818181813</v>
      </c>
      <c r="E127" s="316" t="s">
        <v>687</v>
      </c>
    </row>
    <row r="128" spans="1:15" ht="23.45" customHeight="1" x14ac:dyDescent="0.2">
      <c r="A128" s="321" t="s">
        <v>665</v>
      </c>
      <c r="B128" s="311" t="s">
        <v>651</v>
      </c>
      <c r="C128" s="317" t="s">
        <v>539</v>
      </c>
      <c r="D128" s="321">
        <f>'PL1-Dữ liệu'!D18</f>
        <v>4</v>
      </c>
      <c r="E128" s="311" t="s">
        <v>567</v>
      </c>
    </row>
    <row r="129" spans="1:15" ht="31.5" x14ac:dyDescent="0.2">
      <c r="A129" s="321" t="s">
        <v>666</v>
      </c>
      <c r="B129" s="311" t="s">
        <v>623</v>
      </c>
      <c r="C129" s="317" t="s">
        <v>520</v>
      </c>
      <c r="D129" s="322">
        <f>8*3*15</f>
        <v>360</v>
      </c>
      <c r="E129" s="336" t="s">
        <v>714</v>
      </c>
    </row>
    <row r="130" spans="1:15" s="282" customFormat="1" ht="22.9" customHeight="1" x14ac:dyDescent="0.2">
      <c r="A130" s="321" t="s">
        <v>667</v>
      </c>
      <c r="B130" s="311" t="s">
        <v>447</v>
      </c>
      <c r="C130" s="317" t="s">
        <v>502</v>
      </c>
      <c r="D130" s="322">
        <f>'PL1-Dữ liệu'!D21</f>
        <v>44318.181818181816</v>
      </c>
      <c r="E130" s="311" t="s">
        <v>567</v>
      </c>
      <c r="F130" s="282" t="s">
        <v>93</v>
      </c>
    </row>
    <row r="131" spans="1:15" s="375" customFormat="1" ht="31.5" x14ac:dyDescent="0.2">
      <c r="A131" s="378">
        <v>2.2000000000000002</v>
      </c>
      <c r="B131" s="370" t="s">
        <v>662</v>
      </c>
      <c r="C131" s="379" t="s">
        <v>502</v>
      </c>
      <c r="D131" s="380">
        <f>(D133+D134)*D132</f>
        <v>16520000000</v>
      </c>
      <c r="E131" s="370" t="s">
        <v>687</v>
      </c>
    </row>
    <row r="132" spans="1:15" ht="26.45" customHeight="1" x14ac:dyDescent="0.2">
      <c r="A132" s="321" t="s">
        <v>527</v>
      </c>
      <c r="B132" s="311" t="s">
        <v>652</v>
      </c>
      <c r="C132" s="317" t="s">
        <v>539</v>
      </c>
      <c r="D132" s="377">
        <f>'PL1-Dữ liệu'!D19</f>
        <v>8</v>
      </c>
      <c r="E132" s="311" t="s">
        <v>567</v>
      </c>
    </row>
    <row r="133" spans="1:15" ht="26.45" customHeight="1" x14ac:dyDescent="0.2">
      <c r="A133" s="321" t="s">
        <v>579</v>
      </c>
      <c r="B133" s="311" t="s">
        <v>664</v>
      </c>
      <c r="C133" s="317" t="s">
        <v>502</v>
      </c>
      <c r="D133" s="322">
        <f>'PL1-Dữ liệu'!D24</f>
        <v>25000000</v>
      </c>
      <c r="E133" s="311" t="s">
        <v>567</v>
      </c>
    </row>
    <row r="134" spans="1:15" ht="47.25" x14ac:dyDescent="0.2">
      <c r="A134" s="321" t="s">
        <v>564</v>
      </c>
      <c r="B134" s="311" t="s">
        <v>721</v>
      </c>
      <c r="C134" s="317" t="s">
        <v>502</v>
      </c>
      <c r="D134" s="322">
        <f>12*((100000000+30000000) + 20000000 + 20000000)</f>
        <v>2040000000</v>
      </c>
      <c r="E134" s="336" t="s">
        <v>722</v>
      </c>
      <c r="F134" s="385" t="s">
        <v>723</v>
      </c>
    </row>
    <row r="135" spans="1:15" s="383" customFormat="1" ht="37.9" customHeight="1" x14ac:dyDescent="0.2">
      <c r="A135" s="378">
        <v>2.2999999999999998</v>
      </c>
      <c r="B135" s="381" t="s">
        <v>624</v>
      </c>
      <c r="C135" s="382" t="s">
        <v>502</v>
      </c>
      <c r="D135" s="380">
        <f>D136*D137*D138</f>
        <v>24218181.818181816</v>
      </c>
      <c r="E135" s="370" t="s">
        <v>687</v>
      </c>
      <c r="F135" s="375"/>
      <c r="J135" s="384"/>
      <c r="K135" s="384"/>
      <c r="L135" s="384"/>
      <c r="M135" s="384"/>
      <c r="N135" s="384"/>
      <c r="O135" s="384"/>
    </row>
    <row r="136" spans="1:15" s="294" customFormat="1" ht="22.15" customHeight="1" x14ac:dyDescent="0.2">
      <c r="A136" s="321" t="s">
        <v>515</v>
      </c>
      <c r="B136" s="311" t="s">
        <v>651</v>
      </c>
      <c r="C136" s="317" t="s">
        <v>539</v>
      </c>
      <c r="D136" s="321">
        <f>D128</f>
        <v>4</v>
      </c>
      <c r="E136" s="311" t="s">
        <v>640</v>
      </c>
      <c r="J136" s="282"/>
      <c r="K136" s="282"/>
      <c r="L136" s="282"/>
      <c r="M136" s="282"/>
      <c r="N136" s="282"/>
      <c r="O136" s="282"/>
    </row>
    <row r="137" spans="1:15" s="294" customFormat="1" ht="31.5" x14ac:dyDescent="0.2">
      <c r="A137" s="321" t="s">
        <v>516</v>
      </c>
      <c r="B137" s="311" t="s">
        <v>643</v>
      </c>
      <c r="C137" s="317" t="s">
        <v>520</v>
      </c>
      <c r="D137" s="322">
        <f>8*5*5</f>
        <v>200</v>
      </c>
      <c r="E137" s="336" t="s">
        <v>712</v>
      </c>
      <c r="J137" s="282"/>
      <c r="K137" s="282"/>
      <c r="L137" s="282"/>
      <c r="M137" s="282"/>
      <c r="N137" s="282"/>
      <c r="O137" s="282"/>
    </row>
    <row r="138" spans="1:15" s="282" customFormat="1" ht="22.9" customHeight="1" x14ac:dyDescent="0.2">
      <c r="A138" s="321" t="s">
        <v>530</v>
      </c>
      <c r="B138" s="311" t="s">
        <v>625</v>
      </c>
      <c r="C138" s="317" t="s">
        <v>502</v>
      </c>
      <c r="D138" s="322">
        <f>'PL1-Dữ liệu'!D22</f>
        <v>30272.727272727272</v>
      </c>
      <c r="E138" s="311" t="s">
        <v>567</v>
      </c>
      <c r="F138" s="385"/>
      <c r="G138" s="327"/>
      <c r="H138" s="327"/>
      <c r="I138" s="327"/>
    </row>
    <row r="139" spans="1:15" s="282" customFormat="1" ht="31.5" x14ac:dyDescent="0.2">
      <c r="A139" s="335">
        <v>2.4</v>
      </c>
      <c r="B139" s="316" t="s">
        <v>537</v>
      </c>
      <c r="C139" s="317" t="s">
        <v>502</v>
      </c>
      <c r="D139" s="318">
        <f>'PL3-VBPL'!D4</f>
        <v>223240818.18181819</v>
      </c>
      <c r="E139" s="311" t="s">
        <v>602</v>
      </c>
    </row>
    <row r="140" spans="1:15" s="327" customFormat="1" x14ac:dyDescent="0.2">
      <c r="A140" s="337"/>
      <c r="B140" s="338" t="s">
        <v>541</v>
      </c>
      <c r="C140" s="339"/>
      <c r="D140" s="340"/>
      <c r="E140" s="341"/>
      <c r="F140" s="385"/>
      <c r="J140" s="282"/>
      <c r="K140" s="282"/>
      <c r="L140" s="282"/>
      <c r="M140" s="282"/>
      <c r="N140" s="282"/>
      <c r="O140" s="282"/>
    </row>
    <row r="141" spans="1:15" s="327" customFormat="1" x14ac:dyDescent="0.2">
      <c r="A141" s="337"/>
      <c r="B141" s="337" t="s">
        <v>544</v>
      </c>
      <c r="C141" s="339"/>
      <c r="D141" s="342">
        <v>0</v>
      </c>
      <c r="E141" s="344"/>
      <c r="F141" s="385"/>
      <c r="J141" s="282"/>
      <c r="K141" s="282"/>
      <c r="L141" s="282"/>
      <c r="M141" s="282"/>
      <c r="N141" s="282"/>
      <c r="O141" s="282"/>
    </row>
    <row r="142" spans="1:15" s="327" customFormat="1" x14ac:dyDescent="0.2">
      <c r="A142" s="337"/>
      <c r="B142" s="337" t="s">
        <v>545</v>
      </c>
      <c r="C142" s="339"/>
      <c r="D142" s="348">
        <f>D127+D131+D135+D139</f>
        <v>16831277181.818182</v>
      </c>
      <c r="E142" s="341" t="s">
        <v>595</v>
      </c>
      <c r="F142" s="385"/>
      <c r="J142" s="282"/>
      <c r="K142" s="282"/>
      <c r="L142" s="282"/>
      <c r="M142" s="282"/>
      <c r="N142" s="282"/>
      <c r="O142" s="282"/>
    </row>
  </sheetData>
  <autoFilter ref="A1:H11">
    <filterColumn colId="0" showButton="0"/>
    <filterColumn colId="1" showButton="0"/>
    <filterColumn colId="2" showButton="0"/>
    <filterColumn colId="3" showButton="0"/>
  </autoFilter>
  <mergeCells count="3">
    <mergeCell ref="A1:E1"/>
    <mergeCell ref="C106:E106"/>
    <mergeCell ref="C125:E125"/>
  </mergeCells>
  <phoneticPr fontId="1" type="noConversion"/>
  <pageMargins left="0.27" right="0.17" top="0.64" bottom="0.46" header="0.39" footer="0.2"/>
  <pageSetup paperSize="9"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55"/>
  <sheetViews>
    <sheetView topLeftCell="A55" workbookViewId="0">
      <selection activeCell="B7" sqref="B7"/>
    </sheetView>
  </sheetViews>
  <sheetFormatPr defaultColWidth="50.42578125" defaultRowHeight="16.5" x14ac:dyDescent="0.25"/>
  <cols>
    <col min="1" max="1" width="6.42578125" style="236" customWidth="1"/>
    <col min="2" max="2" width="58.28515625" style="235" customWidth="1"/>
    <col min="3" max="3" width="101.140625" style="234" customWidth="1"/>
    <col min="4" max="4" width="32.28515625" style="234" customWidth="1"/>
    <col min="5" max="16384" width="50.42578125" style="234"/>
  </cols>
  <sheetData>
    <row r="1" spans="1:3" x14ac:dyDescent="0.25">
      <c r="A1" s="238" t="s">
        <v>423</v>
      </c>
      <c r="B1" s="238" t="s">
        <v>347</v>
      </c>
      <c r="C1" s="239" t="s">
        <v>426</v>
      </c>
    </row>
    <row r="2" spans="1:3" x14ac:dyDescent="0.25">
      <c r="B2" s="240" t="s">
        <v>412</v>
      </c>
      <c r="C2" s="241"/>
    </row>
    <row r="3" spans="1:3" ht="99" x14ac:dyDescent="0.25">
      <c r="A3" s="236">
        <v>1</v>
      </c>
      <c r="B3" s="235" t="s">
        <v>427</v>
      </c>
      <c r="C3" s="234" t="s">
        <v>445</v>
      </c>
    </row>
    <row r="4" spans="1:3" ht="33" x14ac:dyDescent="0.25">
      <c r="A4" s="236">
        <v>2</v>
      </c>
      <c r="B4" s="235" t="s">
        <v>417</v>
      </c>
      <c r="C4" s="234" t="s">
        <v>428</v>
      </c>
    </row>
    <row r="5" spans="1:3" x14ac:dyDescent="0.25">
      <c r="A5" s="236">
        <v>3</v>
      </c>
      <c r="B5" s="235" t="s">
        <v>418</v>
      </c>
      <c r="C5" s="234" t="s">
        <v>446</v>
      </c>
    </row>
    <row r="6" spans="1:3" ht="33" x14ac:dyDescent="0.25">
      <c r="A6" s="236">
        <v>4</v>
      </c>
      <c r="B6" s="235" t="s">
        <v>419</v>
      </c>
      <c r="C6" s="234" t="s">
        <v>429</v>
      </c>
    </row>
    <row r="7" spans="1:3" ht="165" x14ac:dyDescent="0.25">
      <c r="A7" s="236">
        <v>5</v>
      </c>
      <c r="B7" s="235" t="s">
        <v>420</v>
      </c>
      <c r="C7" s="234" t="s">
        <v>431</v>
      </c>
    </row>
    <row r="8" spans="1:3" ht="66" x14ac:dyDescent="0.25">
      <c r="A8" s="236">
        <v>6</v>
      </c>
      <c r="B8" s="235" t="s">
        <v>430</v>
      </c>
      <c r="C8" s="234" t="s">
        <v>432</v>
      </c>
    </row>
    <row r="9" spans="1:3" ht="33" x14ac:dyDescent="0.25">
      <c r="A9" s="236">
        <v>7</v>
      </c>
      <c r="B9" s="235" t="s">
        <v>434</v>
      </c>
      <c r="C9" s="234" t="s">
        <v>433</v>
      </c>
    </row>
    <row r="10" spans="1:3" ht="49.5" x14ac:dyDescent="0.25">
      <c r="A10" s="236">
        <v>8</v>
      </c>
      <c r="B10" s="235" t="s">
        <v>421</v>
      </c>
      <c r="C10" s="234" t="s">
        <v>435</v>
      </c>
    </row>
    <row r="11" spans="1:3" ht="33" x14ac:dyDescent="0.25">
      <c r="A11" s="236">
        <v>9</v>
      </c>
      <c r="B11" s="235" t="s">
        <v>422</v>
      </c>
      <c r="C11" s="234" t="s">
        <v>436</v>
      </c>
    </row>
    <row r="12" spans="1:3" ht="214.5" x14ac:dyDescent="0.25">
      <c r="A12" s="236">
        <v>10</v>
      </c>
      <c r="B12" s="235" t="s">
        <v>437</v>
      </c>
      <c r="C12" s="234" t="s">
        <v>438</v>
      </c>
    </row>
    <row r="15" spans="1:3" x14ac:dyDescent="0.25">
      <c r="B15" s="240" t="s">
        <v>413</v>
      </c>
      <c r="C15" s="241"/>
    </row>
    <row r="16" spans="1:3" x14ac:dyDescent="0.25">
      <c r="B16" s="237" t="s">
        <v>439</v>
      </c>
    </row>
    <row r="17" spans="1:3" ht="33" x14ac:dyDescent="0.25">
      <c r="A17" s="236">
        <v>1</v>
      </c>
      <c r="B17" s="235" t="s">
        <v>440</v>
      </c>
    </row>
    <row r="18" spans="1:3" ht="49.5" x14ac:dyDescent="0.25">
      <c r="A18" s="236">
        <v>2</v>
      </c>
      <c r="B18" s="235" t="s">
        <v>441</v>
      </c>
    </row>
    <row r="19" spans="1:3" x14ac:dyDescent="0.25">
      <c r="B19" s="243" t="s">
        <v>442</v>
      </c>
    </row>
    <row r="20" spans="1:3" ht="33" x14ac:dyDescent="0.25">
      <c r="A20" s="236">
        <v>3</v>
      </c>
      <c r="B20" s="235" t="s">
        <v>443</v>
      </c>
    </row>
    <row r="21" spans="1:3" ht="33" x14ac:dyDescent="0.25">
      <c r="A21" s="236">
        <v>4</v>
      </c>
      <c r="B21" s="235" t="s">
        <v>444</v>
      </c>
    </row>
    <row r="22" spans="1:3" x14ac:dyDescent="0.25">
      <c r="B22" s="243" t="s">
        <v>449</v>
      </c>
      <c r="C22" s="234" t="s">
        <v>93</v>
      </c>
    </row>
    <row r="23" spans="1:3" ht="49.5" x14ac:dyDescent="0.25">
      <c r="A23" s="236">
        <v>5</v>
      </c>
      <c r="B23" s="235" t="s">
        <v>450</v>
      </c>
    </row>
    <row r="24" spans="1:3" ht="66" x14ac:dyDescent="0.25">
      <c r="A24" s="236">
        <v>6</v>
      </c>
      <c r="B24" s="235" t="s">
        <v>464</v>
      </c>
    </row>
    <row r="25" spans="1:3" ht="66" x14ac:dyDescent="0.25">
      <c r="A25" s="236">
        <v>7</v>
      </c>
      <c r="B25" s="235" t="s">
        <v>451</v>
      </c>
    </row>
    <row r="26" spans="1:3" x14ac:dyDescent="0.25">
      <c r="B26" s="237" t="s">
        <v>452</v>
      </c>
    </row>
    <row r="27" spans="1:3" x14ac:dyDescent="0.25">
      <c r="A27" s="236">
        <v>8</v>
      </c>
      <c r="B27" s="235" t="s">
        <v>453</v>
      </c>
    </row>
    <row r="28" spans="1:3" x14ac:dyDescent="0.25">
      <c r="A28" s="236">
        <v>9</v>
      </c>
      <c r="B28" s="235" t="s">
        <v>454</v>
      </c>
    </row>
    <row r="29" spans="1:3" x14ac:dyDescent="0.25">
      <c r="B29" s="237" t="s">
        <v>459</v>
      </c>
    </row>
    <row r="30" spans="1:3" ht="82.5" x14ac:dyDescent="0.25">
      <c r="A30" s="236">
        <v>10</v>
      </c>
      <c r="B30" s="235" t="s">
        <v>460</v>
      </c>
    </row>
    <row r="31" spans="1:3" x14ac:dyDescent="0.25">
      <c r="B31" s="234"/>
    </row>
    <row r="33" spans="1:3" x14ac:dyDescent="0.25">
      <c r="B33" s="240" t="s">
        <v>425</v>
      </c>
      <c r="C33" s="241"/>
    </row>
    <row r="34" spans="1:3" x14ac:dyDescent="0.25">
      <c r="A34" s="236">
        <v>1</v>
      </c>
      <c r="B34" s="235" t="s">
        <v>455</v>
      </c>
    </row>
    <row r="35" spans="1:3" x14ac:dyDescent="0.25">
      <c r="A35" s="236">
        <v>2</v>
      </c>
      <c r="B35" s="235" t="s">
        <v>456</v>
      </c>
    </row>
    <row r="36" spans="1:3" ht="82.5" x14ac:dyDescent="0.25">
      <c r="A36" s="236">
        <v>3</v>
      </c>
      <c r="B36" s="235" t="s">
        <v>457</v>
      </c>
    </row>
    <row r="37" spans="1:3" x14ac:dyDescent="0.25">
      <c r="A37" s="236">
        <v>4</v>
      </c>
      <c r="B37" s="235" t="s">
        <v>458</v>
      </c>
    </row>
    <row r="39" spans="1:3" x14ac:dyDescent="0.25">
      <c r="B39" s="240" t="s">
        <v>424</v>
      </c>
      <c r="C39" s="241"/>
    </row>
    <row r="40" spans="1:3" ht="33" x14ac:dyDescent="0.25">
      <c r="A40" s="236">
        <v>1</v>
      </c>
      <c r="B40" s="235" t="s">
        <v>461</v>
      </c>
    </row>
    <row r="41" spans="1:3" ht="33" x14ac:dyDescent="0.25">
      <c r="A41" s="236">
        <v>2</v>
      </c>
      <c r="B41" s="235" t="s">
        <v>463</v>
      </c>
    </row>
    <row r="42" spans="1:3" ht="33" x14ac:dyDescent="0.25">
      <c r="A42" s="236">
        <v>3</v>
      </c>
      <c r="B42" s="235" t="s">
        <v>462</v>
      </c>
    </row>
    <row r="43" spans="1:3" ht="49.5" x14ac:dyDescent="0.25">
      <c r="A43" s="236">
        <v>4</v>
      </c>
      <c r="B43" s="235" t="s">
        <v>466</v>
      </c>
    </row>
    <row r="45" spans="1:3" x14ac:dyDescent="0.25">
      <c r="B45" s="237" t="s">
        <v>465</v>
      </c>
    </row>
    <row r="46" spans="1:3" ht="82.5" x14ac:dyDescent="0.25">
      <c r="B46" s="234" t="s">
        <v>414</v>
      </c>
    </row>
    <row r="47" spans="1:3" ht="49.5" x14ac:dyDescent="0.25">
      <c r="B47" s="234" t="s">
        <v>415</v>
      </c>
    </row>
    <row r="48" spans="1:3" ht="49.5" x14ac:dyDescent="0.25">
      <c r="B48" s="234" t="s">
        <v>416</v>
      </c>
    </row>
    <row r="49" spans="2:3" ht="82.5" x14ac:dyDescent="0.25">
      <c r="B49" s="235" t="s">
        <v>448</v>
      </c>
    </row>
    <row r="50" spans="2:3" ht="33" x14ac:dyDescent="0.25">
      <c r="B50" s="235" t="s">
        <v>482</v>
      </c>
    </row>
    <row r="51" spans="2:3" x14ac:dyDescent="0.25">
      <c r="B51" s="237" t="s">
        <v>474</v>
      </c>
    </row>
    <row r="52" spans="2:3" ht="33" x14ac:dyDescent="0.25">
      <c r="B52" s="235" t="s">
        <v>473</v>
      </c>
      <c r="C52" s="234" t="s">
        <v>477</v>
      </c>
    </row>
    <row r="53" spans="2:3" x14ac:dyDescent="0.25">
      <c r="B53" s="235" t="s">
        <v>475</v>
      </c>
      <c r="C53" s="234" t="s">
        <v>476</v>
      </c>
    </row>
    <row r="54" spans="2:3" ht="82.5" x14ac:dyDescent="0.25">
      <c r="B54" s="235" t="s">
        <v>478</v>
      </c>
      <c r="C54" s="234" t="s">
        <v>479</v>
      </c>
    </row>
    <row r="55" spans="2:3" ht="33" x14ac:dyDescent="0.25">
      <c r="B55" s="235" t="s">
        <v>480</v>
      </c>
      <c r="C55" s="234" t="s">
        <v>481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3"/>
  <sheetViews>
    <sheetView workbookViewId="0">
      <pane ySplit="3" topLeftCell="A4" activePane="bottomLeft" state="frozen"/>
      <selection pane="bottomLeft" activeCell="G6" sqref="G6"/>
    </sheetView>
  </sheetViews>
  <sheetFormatPr defaultColWidth="8.7109375" defaultRowHeight="15.75" x14ac:dyDescent="0.2"/>
  <cols>
    <col min="1" max="1" width="5.28515625" style="264" customWidth="1"/>
    <col min="2" max="2" width="42.7109375" style="257" customWidth="1"/>
    <col min="3" max="3" width="8.5703125" style="257" customWidth="1"/>
    <col min="4" max="4" width="13.28515625" style="257" bestFit="1" customWidth="1"/>
    <col min="5" max="5" width="60.140625" style="257" customWidth="1"/>
    <col min="6" max="6" width="13.140625" style="257" customWidth="1"/>
    <col min="7" max="7" width="14.28515625" style="257" customWidth="1"/>
    <col min="8" max="8" width="12.7109375" style="257" customWidth="1"/>
    <col min="9" max="9" width="17.28515625" style="257" bestFit="1" customWidth="1"/>
    <col min="10" max="10" width="19.7109375" style="257" customWidth="1"/>
    <col min="11" max="11" width="8.7109375" style="257"/>
    <col min="12" max="12" width="27.28515625" style="257" customWidth="1"/>
    <col min="13" max="16384" width="8.7109375" style="257"/>
  </cols>
  <sheetData>
    <row r="1" spans="1:7" ht="20.25" customHeight="1" x14ac:dyDescent="0.2">
      <c r="A1" s="392" t="s">
        <v>672</v>
      </c>
      <c r="B1" s="392"/>
      <c r="C1" s="392"/>
      <c r="D1" s="392"/>
      <c r="E1" s="392"/>
    </row>
    <row r="2" spans="1:7" ht="16.5" customHeight="1" x14ac:dyDescent="0.2">
      <c r="A2" s="394" t="s">
        <v>674</v>
      </c>
      <c r="B2" s="394"/>
      <c r="C2" s="394"/>
      <c r="D2" s="394"/>
      <c r="E2" s="394"/>
      <c r="F2" s="356"/>
      <c r="G2" s="356"/>
    </row>
    <row r="3" spans="1:7" x14ac:dyDescent="0.2">
      <c r="A3" s="357" t="s">
        <v>423</v>
      </c>
      <c r="B3" s="357" t="s">
        <v>521</v>
      </c>
      <c r="C3" s="357" t="s">
        <v>504</v>
      </c>
      <c r="D3" s="357" t="s">
        <v>505</v>
      </c>
      <c r="E3" s="357" t="s">
        <v>506</v>
      </c>
    </row>
    <row r="4" spans="1:7" ht="31.5" x14ac:dyDescent="0.2">
      <c r="A4" s="358"/>
      <c r="B4" s="265" t="s">
        <v>507</v>
      </c>
      <c r="C4" s="271" t="s">
        <v>502</v>
      </c>
      <c r="D4" s="269">
        <f>D5*D7+D6</f>
        <v>223240818.18181819</v>
      </c>
      <c r="E4" s="265"/>
    </row>
    <row r="5" spans="1:7" ht="78.75" x14ac:dyDescent="0.2">
      <c r="A5" s="300">
        <v>1</v>
      </c>
      <c r="B5" s="266" t="s">
        <v>519</v>
      </c>
      <c r="C5" s="268" t="s">
        <v>520</v>
      </c>
      <c r="D5" s="270">
        <f>5*4*160 + 12*3*3 + 15*5*3 + (25*3+10*3)*3*8</f>
        <v>6053</v>
      </c>
      <c r="E5" s="359" t="s">
        <v>518</v>
      </c>
    </row>
    <row r="6" spans="1:7" ht="31.5" x14ac:dyDescent="0.2">
      <c r="A6" s="300">
        <v>2</v>
      </c>
      <c r="B6" s="267" t="s">
        <v>522</v>
      </c>
      <c r="C6" s="268" t="s">
        <v>502</v>
      </c>
      <c r="D6" s="270">
        <v>40000000</v>
      </c>
      <c r="E6" s="359" t="s">
        <v>517</v>
      </c>
    </row>
    <row r="7" spans="1:7" ht="63" x14ac:dyDescent="0.2">
      <c r="A7" s="300">
        <v>3</v>
      </c>
      <c r="B7" s="360" t="s">
        <v>503</v>
      </c>
      <c r="C7" s="268" t="s">
        <v>502</v>
      </c>
      <c r="D7" s="361">
        <f>5328000/22/8</f>
        <v>30272.727272727272</v>
      </c>
      <c r="E7" s="360" t="s">
        <v>511</v>
      </c>
    </row>
    <row r="8" spans="1:7" x14ac:dyDescent="0.2">
      <c r="A8" s="393" t="s">
        <v>673</v>
      </c>
      <c r="B8" s="393"/>
      <c r="C8" s="393"/>
      <c r="D8" s="393"/>
      <c r="E8" s="393"/>
    </row>
    <row r="9" spans="1:7" x14ac:dyDescent="0.2">
      <c r="A9" s="357" t="s">
        <v>423</v>
      </c>
      <c r="B9" s="357" t="s">
        <v>521</v>
      </c>
      <c r="C9" s="357" t="s">
        <v>504</v>
      </c>
      <c r="D9" s="357" t="s">
        <v>505</v>
      </c>
      <c r="E9" s="357" t="s">
        <v>506</v>
      </c>
    </row>
    <row r="10" spans="1:7" ht="31.5" x14ac:dyDescent="0.2">
      <c r="A10" s="358"/>
      <c r="B10" s="265" t="s">
        <v>559</v>
      </c>
      <c r="C10" s="271" t="s">
        <v>502</v>
      </c>
      <c r="D10" s="269">
        <f>D11*D13+D12</f>
        <v>128083636.36363636</v>
      </c>
      <c r="E10" s="265"/>
    </row>
    <row r="11" spans="1:7" ht="63" x14ac:dyDescent="0.2">
      <c r="A11" s="300">
        <v>1</v>
      </c>
      <c r="B11" s="266" t="s">
        <v>560</v>
      </c>
      <c r="C11" s="268" t="s">
        <v>520</v>
      </c>
      <c r="D11" s="270">
        <f>5*3*160 + (25+10)*3*8</f>
        <v>3240</v>
      </c>
      <c r="E11" s="359" t="s">
        <v>565</v>
      </c>
    </row>
    <row r="12" spans="1:7" ht="31.5" x14ac:dyDescent="0.2">
      <c r="A12" s="300">
        <v>2</v>
      </c>
      <c r="B12" s="267" t="s">
        <v>561</v>
      </c>
      <c r="C12" s="268" t="s">
        <v>502</v>
      </c>
      <c r="D12" s="270">
        <v>30000000</v>
      </c>
      <c r="E12" s="359" t="s">
        <v>517</v>
      </c>
    </row>
    <row r="13" spans="1:7" ht="63" x14ac:dyDescent="0.2">
      <c r="A13" s="300">
        <v>3</v>
      </c>
      <c r="B13" s="360" t="s">
        <v>503</v>
      </c>
      <c r="C13" s="268" t="s">
        <v>502</v>
      </c>
      <c r="D13" s="361">
        <f>5328000/22/8</f>
        <v>30272.727272727272</v>
      </c>
      <c r="E13" s="360" t="s">
        <v>511</v>
      </c>
    </row>
  </sheetData>
  <mergeCells count="3">
    <mergeCell ref="A1:E1"/>
    <mergeCell ref="A8:E8"/>
    <mergeCell ref="A2:E2"/>
  </mergeCells>
  <pageMargins left="0.67" right="0.2" top="0.61" bottom="0.75" header="0.3" footer="0.3"/>
  <pageSetup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H44"/>
  <sheetViews>
    <sheetView topLeftCell="A37" workbookViewId="0">
      <selection activeCell="H40" sqref="H40"/>
    </sheetView>
  </sheetViews>
  <sheetFormatPr defaultColWidth="8.7109375" defaultRowHeight="18.75" x14ac:dyDescent="0.3"/>
  <cols>
    <col min="1" max="1" width="27.7109375" style="242" customWidth="1"/>
    <col min="2" max="2" width="28.140625" style="242" customWidth="1"/>
    <col min="3" max="3" width="27.28515625" style="242" customWidth="1"/>
    <col min="4" max="4" width="15" style="242" customWidth="1"/>
    <col min="5" max="5" width="13.28515625" style="242" customWidth="1"/>
    <col min="6" max="7" width="13.42578125" style="242" customWidth="1"/>
    <col min="8" max="8" width="12.7109375" style="242" customWidth="1"/>
    <col min="9" max="16384" width="8.7109375" style="242"/>
  </cols>
  <sheetData>
    <row r="1" spans="1:3" ht="46.15" customHeight="1" x14ac:dyDescent="0.3">
      <c r="A1" s="395" t="s">
        <v>349</v>
      </c>
      <c r="B1" s="395"/>
      <c r="C1" s="395"/>
    </row>
    <row r="2" spans="1:3" ht="31.5" x14ac:dyDescent="0.3">
      <c r="A2" s="259" t="s">
        <v>467</v>
      </c>
      <c r="B2" s="259" t="s">
        <v>468</v>
      </c>
      <c r="C2" s="259" t="s">
        <v>469</v>
      </c>
    </row>
    <row r="3" spans="1:3" ht="31.5" x14ac:dyDescent="0.3">
      <c r="A3" s="260" t="s">
        <v>350</v>
      </c>
      <c r="B3" s="258"/>
      <c r="C3" s="258" t="s">
        <v>470</v>
      </c>
    </row>
    <row r="4" spans="1:3" ht="31.5" x14ac:dyDescent="0.3">
      <c r="A4" s="261" t="s">
        <v>351</v>
      </c>
      <c r="B4" s="258"/>
      <c r="C4" s="258" t="s">
        <v>352</v>
      </c>
    </row>
    <row r="5" spans="1:3" x14ac:dyDescent="0.3">
      <c r="A5" s="396" t="s">
        <v>353</v>
      </c>
      <c r="B5" s="258" t="s">
        <v>354</v>
      </c>
      <c r="C5" s="258" t="s">
        <v>355</v>
      </c>
    </row>
    <row r="6" spans="1:3" x14ac:dyDescent="0.3">
      <c r="A6" s="396"/>
      <c r="B6" s="258" t="s">
        <v>356</v>
      </c>
      <c r="C6" s="258" t="s">
        <v>357</v>
      </c>
    </row>
    <row r="7" spans="1:3" x14ac:dyDescent="0.3">
      <c r="A7" s="396"/>
      <c r="B7" s="258" t="s">
        <v>358</v>
      </c>
      <c r="C7" s="258" t="s">
        <v>359</v>
      </c>
    </row>
    <row r="8" spans="1:3" x14ac:dyDescent="0.3">
      <c r="A8" s="396"/>
      <c r="B8" s="258" t="s">
        <v>360</v>
      </c>
      <c r="C8" s="258" t="s">
        <v>361</v>
      </c>
    </row>
    <row r="9" spans="1:3" x14ac:dyDescent="0.3">
      <c r="A9" s="396"/>
      <c r="B9" s="258" t="s">
        <v>362</v>
      </c>
      <c r="C9" s="258" t="s">
        <v>363</v>
      </c>
    </row>
    <row r="10" spans="1:3" ht="31.5" x14ac:dyDescent="0.3">
      <c r="A10" s="396" t="s">
        <v>364</v>
      </c>
      <c r="B10" s="258" t="s">
        <v>365</v>
      </c>
      <c r="C10" s="258" t="s">
        <v>366</v>
      </c>
    </row>
    <row r="11" spans="1:3" ht="31.5" x14ac:dyDescent="0.3">
      <c r="A11" s="396"/>
      <c r="B11" s="258" t="s">
        <v>367</v>
      </c>
      <c r="C11" s="258" t="s">
        <v>368</v>
      </c>
    </row>
    <row r="12" spans="1:3" ht="31.5" x14ac:dyDescent="0.3">
      <c r="A12" s="396"/>
      <c r="B12" s="258" t="s">
        <v>369</v>
      </c>
      <c r="C12" s="258" t="s">
        <v>370</v>
      </c>
    </row>
    <row r="13" spans="1:3" x14ac:dyDescent="0.3">
      <c r="A13" s="396" t="s">
        <v>371</v>
      </c>
      <c r="B13" s="258" t="s">
        <v>372</v>
      </c>
      <c r="C13" s="258" t="s">
        <v>373</v>
      </c>
    </row>
    <row r="14" spans="1:3" x14ac:dyDescent="0.3">
      <c r="A14" s="396"/>
      <c r="B14" s="258" t="s">
        <v>374</v>
      </c>
      <c r="C14" s="258" t="s">
        <v>375</v>
      </c>
    </row>
    <row r="15" spans="1:3" x14ac:dyDescent="0.3">
      <c r="A15" s="396"/>
      <c r="B15" s="258" t="s">
        <v>376</v>
      </c>
      <c r="C15" s="258" t="s">
        <v>370</v>
      </c>
    </row>
    <row r="16" spans="1:3" x14ac:dyDescent="0.3">
      <c r="A16" s="396"/>
      <c r="B16" s="258" t="s">
        <v>377</v>
      </c>
      <c r="C16" s="258" t="s">
        <v>378</v>
      </c>
    </row>
    <row r="17" spans="1:3" x14ac:dyDescent="0.3">
      <c r="A17" s="396"/>
      <c r="B17" s="258" t="s">
        <v>379</v>
      </c>
      <c r="C17" s="258" t="s">
        <v>380</v>
      </c>
    </row>
    <row r="18" spans="1:3" x14ac:dyDescent="0.3">
      <c r="A18" s="260" t="s">
        <v>381</v>
      </c>
      <c r="B18" s="258"/>
      <c r="C18" s="258" t="s">
        <v>382</v>
      </c>
    </row>
    <row r="19" spans="1:3" x14ac:dyDescent="0.3">
      <c r="A19" s="396" t="s">
        <v>383</v>
      </c>
      <c r="B19" s="258" t="s">
        <v>384</v>
      </c>
      <c r="C19" s="258" t="s">
        <v>385</v>
      </c>
    </row>
    <row r="20" spans="1:3" x14ac:dyDescent="0.3">
      <c r="A20" s="396"/>
      <c r="B20" s="397" t="s">
        <v>386</v>
      </c>
      <c r="C20" s="258" t="s">
        <v>385</v>
      </c>
    </row>
    <row r="21" spans="1:3" x14ac:dyDescent="0.3">
      <c r="A21" s="396"/>
      <c r="B21" s="397"/>
      <c r="C21" s="258" t="s">
        <v>387</v>
      </c>
    </row>
    <row r="22" spans="1:3" ht="31.5" x14ac:dyDescent="0.3">
      <c r="A22" s="396" t="s">
        <v>388</v>
      </c>
      <c r="B22" s="258" t="s">
        <v>389</v>
      </c>
      <c r="C22" s="258" t="s">
        <v>390</v>
      </c>
    </row>
    <row r="23" spans="1:3" x14ac:dyDescent="0.3">
      <c r="A23" s="396"/>
      <c r="B23" s="258" t="s">
        <v>362</v>
      </c>
      <c r="C23" s="258" t="s">
        <v>391</v>
      </c>
    </row>
    <row r="24" spans="1:3" x14ac:dyDescent="0.3">
      <c r="A24" s="396" t="s">
        <v>392</v>
      </c>
      <c r="B24" s="258" t="s">
        <v>393</v>
      </c>
      <c r="C24" s="258" t="s">
        <v>394</v>
      </c>
    </row>
    <row r="25" spans="1:3" x14ac:dyDescent="0.3">
      <c r="A25" s="396"/>
      <c r="B25" s="258" t="s">
        <v>360</v>
      </c>
      <c r="C25" s="258" t="s">
        <v>395</v>
      </c>
    </row>
    <row r="26" spans="1:3" x14ac:dyDescent="0.3">
      <c r="A26" s="396"/>
      <c r="B26" s="258" t="s">
        <v>362</v>
      </c>
      <c r="C26" s="258" t="s">
        <v>396</v>
      </c>
    </row>
    <row r="27" spans="1:3" ht="18" customHeight="1" x14ac:dyDescent="0.3">
      <c r="A27" s="398" t="s">
        <v>471</v>
      </c>
      <c r="B27" s="397" t="s">
        <v>397</v>
      </c>
      <c r="C27" s="397" t="s">
        <v>398</v>
      </c>
    </row>
    <row r="28" spans="1:3" ht="13.15" customHeight="1" x14ac:dyDescent="0.3">
      <c r="A28" s="398"/>
      <c r="B28" s="397"/>
      <c r="C28" s="397"/>
    </row>
    <row r="29" spans="1:3" x14ac:dyDescent="0.3">
      <c r="A29" s="398"/>
      <c r="B29" s="258" t="s">
        <v>399</v>
      </c>
      <c r="C29" s="258" t="s">
        <v>400</v>
      </c>
    </row>
    <row r="30" spans="1:3" ht="31.5" x14ac:dyDescent="0.3">
      <c r="A30" s="398"/>
      <c r="B30" s="258" t="s">
        <v>401</v>
      </c>
      <c r="C30" s="258" t="s">
        <v>402</v>
      </c>
    </row>
    <row r="31" spans="1:3" ht="31.5" x14ac:dyDescent="0.3">
      <c r="A31" s="396" t="s">
        <v>403</v>
      </c>
      <c r="B31" s="258" t="s">
        <v>404</v>
      </c>
      <c r="C31" s="258" t="s">
        <v>405</v>
      </c>
    </row>
    <row r="32" spans="1:3" x14ac:dyDescent="0.3">
      <c r="A32" s="396"/>
      <c r="B32" s="258" t="s">
        <v>406</v>
      </c>
      <c r="C32" s="258" t="s">
        <v>407</v>
      </c>
    </row>
    <row r="33" spans="1:8" ht="31.5" x14ac:dyDescent="0.3">
      <c r="A33" s="396"/>
      <c r="B33" s="258" t="s">
        <v>408</v>
      </c>
      <c r="C33" s="258" t="s">
        <v>405</v>
      </c>
    </row>
    <row r="34" spans="1:8" x14ac:dyDescent="0.3">
      <c r="A34" s="396"/>
      <c r="B34" s="258" t="s">
        <v>409</v>
      </c>
      <c r="C34" s="258" t="s">
        <v>400</v>
      </c>
    </row>
    <row r="35" spans="1:8" x14ac:dyDescent="0.3">
      <c r="A35" s="396"/>
      <c r="B35" s="258" t="s">
        <v>410</v>
      </c>
      <c r="C35" s="258" t="s">
        <v>400</v>
      </c>
    </row>
    <row r="36" spans="1:8" x14ac:dyDescent="0.3">
      <c r="A36" s="396"/>
      <c r="B36" s="258" t="s">
        <v>411</v>
      </c>
      <c r="C36" s="258" t="s">
        <v>366</v>
      </c>
    </row>
    <row r="37" spans="1:8" ht="36" customHeight="1" x14ac:dyDescent="0.3">
      <c r="A37" s="399" t="s">
        <v>472</v>
      </c>
      <c r="B37" s="399"/>
      <c r="C37" s="399"/>
    </row>
    <row r="38" spans="1:8" x14ac:dyDescent="0.3">
      <c r="A38" s="244"/>
    </row>
    <row r="39" spans="1:8" x14ac:dyDescent="0.3">
      <c r="A39" s="245" t="s">
        <v>483</v>
      </c>
      <c r="B39" s="245">
        <v>2014</v>
      </c>
      <c r="C39" s="245">
        <v>2015</v>
      </c>
      <c r="D39" s="245">
        <v>2016</v>
      </c>
      <c r="E39" s="245">
        <v>2017</v>
      </c>
      <c r="F39" s="245">
        <v>2018</v>
      </c>
      <c r="G39" s="245">
        <v>2019</v>
      </c>
      <c r="H39" s="245">
        <v>2020</v>
      </c>
    </row>
    <row r="40" spans="1:8" x14ac:dyDescent="0.3">
      <c r="A40" s="254" t="s">
        <v>498</v>
      </c>
      <c r="B40" s="254"/>
      <c r="C40" s="254"/>
      <c r="D40" s="255">
        <v>174.11</v>
      </c>
      <c r="E40" s="255">
        <v>214.01</v>
      </c>
      <c r="F40" s="255">
        <v>243.48</v>
      </c>
      <c r="G40" s="256">
        <v>264.19</v>
      </c>
      <c r="H40" s="262"/>
    </row>
    <row r="41" spans="1:8" x14ac:dyDescent="0.3">
      <c r="A41" s="186" t="s">
        <v>499</v>
      </c>
      <c r="B41" s="247">
        <v>3629300</v>
      </c>
      <c r="C41" s="247">
        <v>4350000</v>
      </c>
      <c r="D41" s="247">
        <v>4760000</v>
      </c>
      <c r="E41" s="247">
        <v>5890000</v>
      </c>
      <c r="F41" s="247">
        <v>5182109</v>
      </c>
      <c r="G41" s="247">
        <v>5271581</v>
      </c>
      <c r="H41" s="263">
        <f>'Forecast NK'!C8</f>
        <v>5803683.8767612455</v>
      </c>
    </row>
    <row r="42" spans="1:8" x14ac:dyDescent="0.3">
      <c r="A42" s="186" t="s">
        <v>348</v>
      </c>
      <c r="B42" s="246">
        <v>866951</v>
      </c>
      <c r="C42" s="246">
        <v>1127520</v>
      </c>
      <c r="D42" s="246">
        <v>1106053</v>
      </c>
      <c r="E42" s="246">
        <v>1199114</v>
      </c>
      <c r="F42" s="253">
        <v>1046075</v>
      </c>
      <c r="G42" s="246">
        <v>1006756</v>
      </c>
      <c r="H42" s="247"/>
    </row>
    <row r="43" spans="1:8" ht="31.5" x14ac:dyDescent="0.3">
      <c r="A43" s="250" t="s">
        <v>500</v>
      </c>
      <c r="B43" s="250"/>
      <c r="C43" s="251">
        <f>(C41-B41)/B41</f>
        <v>0.19857823822775741</v>
      </c>
      <c r="D43" s="252">
        <f>(D41-C41)/C41</f>
        <v>9.4252873563218389E-2</v>
      </c>
      <c r="E43" s="251">
        <f>(E41-D41)/D41</f>
        <v>0.23739495798319327</v>
      </c>
      <c r="F43" s="252">
        <f>(F41-E41)/E41</f>
        <v>-0.12018522920203735</v>
      </c>
      <c r="G43" s="251">
        <f>(G41-F41)/F41</f>
        <v>1.7265557324247716E-2</v>
      </c>
      <c r="H43" s="186"/>
    </row>
    <row r="44" spans="1:8" ht="31.5" x14ac:dyDescent="0.3">
      <c r="A44" s="250" t="s">
        <v>501</v>
      </c>
      <c r="B44" s="251">
        <f t="shared" ref="B44:G44" si="0">B42/B41</f>
        <v>0.23887554073788334</v>
      </c>
      <c r="C44" s="251">
        <f t="shared" si="0"/>
        <v>0.25919999999999999</v>
      </c>
      <c r="D44" s="251">
        <f t="shared" si="0"/>
        <v>0.2323640756302521</v>
      </c>
      <c r="E44" s="251">
        <f t="shared" si="0"/>
        <v>0.20358471986417656</v>
      </c>
      <c r="F44" s="251">
        <f t="shared" si="0"/>
        <v>0.20186279370040267</v>
      </c>
      <c r="G44" s="251">
        <f t="shared" si="0"/>
        <v>0.19097800071743182</v>
      </c>
      <c r="H44" s="186"/>
    </row>
  </sheetData>
  <mergeCells count="13">
    <mergeCell ref="A27:A30"/>
    <mergeCell ref="A37:C37"/>
    <mergeCell ref="A22:A23"/>
    <mergeCell ref="A24:A26"/>
    <mergeCell ref="B27:B28"/>
    <mergeCell ref="C27:C28"/>
    <mergeCell ref="A31:A36"/>
    <mergeCell ref="A1:C1"/>
    <mergeCell ref="A5:A9"/>
    <mergeCell ref="A10:A12"/>
    <mergeCell ref="A13:A17"/>
    <mergeCell ref="A19:A21"/>
    <mergeCell ref="B20:B21"/>
  </mergeCells>
  <hyperlinks>
    <hyperlink ref="A3" r:id="rId1" display="http://www.caicachhanhchinh.gov.vn/Plus.aspx/vi/News/114/0/1010053/0/4454/"/>
    <hyperlink ref="A5" r:id="rId2" display="http://www.caicachhanhchinh.gov.vn/Plus.aspx/vi/News/114/0/1010053/0/4423/"/>
    <hyperlink ref="A10" r:id="rId3" display="http://www.caicachhanhchinh.gov.vn/Plus.aspx/vi/News/114/0/1010053/0/4425/"/>
    <hyperlink ref="A13" r:id="rId4" display="http://www.caicachhanhchinh.gov.vn/Plus.aspx/vi/News/114/0/1010053/0/4433/"/>
    <hyperlink ref="A18" r:id="rId5" display="http://www.caicachhanhchinh.gov.vn/Plus.aspx/vi/News/114/0/1010053/0/4438/"/>
    <hyperlink ref="A19" r:id="rId6" display="http://www.caicachhanhchinh.gov.vn/Plus.aspx/vi/News/114/0/1010053/0/4397/"/>
    <hyperlink ref="A22" r:id="rId7" display="http://www.caicachhanhchinh.gov.vn/Plus.aspx/vi/News/114/0/1010053/0/4441/"/>
    <hyperlink ref="A24" r:id="rId8" display="http://www.caicachhanhchinh.gov.vn/Plus.aspx/vi/News/114/0/1010053/0/4409/"/>
    <hyperlink ref="A31" r:id="rId9" display="http://www.caicachhanhchinh.gov.vn/Plus.aspx/vi/News/114/0/1010053/0/4452/"/>
  </hyperlinks>
  <pageMargins left="0.7" right="0.7" top="0.75" bottom="0.75" header="0.3" footer="0.3"/>
  <pageSetup orientation="portrait" r:id="rId10"/>
  <legacyDrawing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G18" sqref="G18"/>
    </sheetView>
  </sheetViews>
  <sheetFormatPr defaultRowHeight="12.75" x14ac:dyDescent="0.2"/>
  <cols>
    <col min="1" max="1" width="10" customWidth="1"/>
    <col min="2" max="2" width="8.85546875" bestFit="1" customWidth="1"/>
    <col min="3" max="3" width="10.28515625" customWidth="1"/>
    <col min="4" max="4" width="24.5703125" customWidth="1"/>
    <col min="5" max="5" width="24.42578125" customWidth="1"/>
    <col min="7" max="7" width="9.7109375" customWidth="1"/>
    <col min="8" max="8" width="13.7109375" customWidth="1"/>
  </cols>
  <sheetData>
    <row r="1" spans="1:8" x14ac:dyDescent="0.2">
      <c r="A1" t="s">
        <v>484</v>
      </c>
      <c r="B1" t="s">
        <v>485</v>
      </c>
      <c r="C1" t="s">
        <v>486</v>
      </c>
      <c r="D1" t="s">
        <v>487</v>
      </c>
      <c r="E1" t="s">
        <v>488</v>
      </c>
      <c r="G1" t="s">
        <v>489</v>
      </c>
      <c r="H1" t="s">
        <v>490</v>
      </c>
    </row>
    <row r="2" spans="1:8" x14ac:dyDescent="0.2">
      <c r="A2">
        <v>2014</v>
      </c>
      <c r="B2" s="248">
        <v>3598900</v>
      </c>
      <c r="G2" t="s">
        <v>491</v>
      </c>
      <c r="H2" s="249">
        <f>_xlfn.FORECAST.ETS.STAT($B$2:$B$7,$A$2:$A$7,1,1,1)</f>
        <v>0.25</v>
      </c>
    </row>
    <row r="3" spans="1:8" x14ac:dyDescent="0.2">
      <c r="A3">
        <v>2015</v>
      </c>
      <c r="B3" s="248">
        <v>4160000</v>
      </c>
      <c r="G3" t="s">
        <v>492</v>
      </c>
      <c r="H3" s="249">
        <f>_xlfn.FORECAST.ETS.STAT($B$2:$B$7,$A$2:$A$7,2,1,1)</f>
        <v>1E-3</v>
      </c>
    </row>
    <row r="4" spans="1:8" x14ac:dyDescent="0.2">
      <c r="A4">
        <v>2016</v>
      </c>
      <c r="B4" s="248">
        <v>5220000</v>
      </c>
      <c r="G4" t="s">
        <v>493</v>
      </c>
      <c r="H4" s="249">
        <f>_xlfn.FORECAST.ETS.STAT($B$2:$B$7,$A$2:$A$7,3,1,1)</f>
        <v>2.2204460492503131E-16</v>
      </c>
    </row>
    <row r="5" spans="1:8" x14ac:dyDescent="0.2">
      <c r="A5">
        <v>2017</v>
      </c>
      <c r="B5" s="248">
        <v>5420000</v>
      </c>
      <c r="G5" t="s">
        <v>494</v>
      </c>
      <c r="H5" s="249">
        <f>_xlfn.FORECAST.ETS.STAT($B$2:$B$7,$A$2:$A$7,4,1,1)</f>
        <v>0.68420352657947625</v>
      </c>
    </row>
    <row r="6" spans="1:8" x14ac:dyDescent="0.2">
      <c r="A6">
        <v>2018</v>
      </c>
      <c r="B6" s="248">
        <v>4407301</v>
      </c>
      <c r="G6" t="s">
        <v>495</v>
      </c>
      <c r="H6" s="249">
        <f>_xlfn.FORECAST.ETS.STAT($B$2:$B$7,$A$2:$A$7,5,1,1)</f>
        <v>0.10738786143304534</v>
      </c>
    </row>
    <row r="7" spans="1:8" x14ac:dyDescent="0.2">
      <c r="A7">
        <v>2019</v>
      </c>
      <c r="B7" s="248">
        <v>5264328</v>
      </c>
      <c r="C7" s="248">
        <v>5264328</v>
      </c>
      <c r="D7" s="248">
        <v>5264328</v>
      </c>
      <c r="E7" s="248">
        <v>5264328</v>
      </c>
      <c r="G7" t="s">
        <v>496</v>
      </c>
      <c r="H7" s="249">
        <f>_xlfn.FORECAST.ETS.STAT($B$2:$B$7,$A$2:$A$7,6,1,1)</f>
        <v>505055.23303824436</v>
      </c>
    </row>
    <row r="8" spans="1:8" x14ac:dyDescent="0.2">
      <c r="A8">
        <v>2020</v>
      </c>
      <c r="C8" s="248">
        <f>_xlfn.FORECAST.ETS(A8,$B$2:$B$7,$A$2:$A$7,1,1)</f>
        <v>5366935.0764866685</v>
      </c>
      <c r="D8" s="248">
        <f>C8-_xlfn.FORECAST.ETS.CONFINT(A8,$B$2:$B$7,$A$2:$A$7,0.95,1,1)</f>
        <v>4131358.1841753898</v>
      </c>
      <c r="E8" s="248">
        <f>C8+_xlfn.FORECAST.ETS.CONFINT(A8,$B$2:$B$7,$A$2:$A$7,0.95,1,1)</f>
        <v>6602511.9687979473</v>
      </c>
      <c r="G8" t="s">
        <v>497</v>
      </c>
      <c r="H8" s="249">
        <f>_xlfn.FORECAST.ETS.STAT($B$2:$B$7,$A$2:$A$7,7,1,1)</f>
        <v>630407.95752235863</v>
      </c>
    </row>
    <row r="9" spans="1:8" x14ac:dyDescent="0.2">
      <c r="A9">
        <v>2021</v>
      </c>
      <c r="C9" s="248">
        <f>_xlfn.FORECAST.ETS(A9,$B$2:$B$7,$A$2:$A$7,1,1)</f>
        <v>5588798.5730608655</v>
      </c>
      <c r="D9" s="248">
        <f>C9-_xlfn.FORECAST.ETS.CONFINT(A9,$B$2:$B$7,$A$2:$A$7,0.95,1,1)</f>
        <v>4314894.8287995057</v>
      </c>
      <c r="E9" s="248">
        <f>C9+_xlfn.FORECAST.ETS.CONFINT(A9,$B$2:$B$7,$A$2:$A$7,0.95,1,1)</f>
        <v>6862702.3173222253</v>
      </c>
    </row>
  </sheetData>
  <pageMargins left="0.7" right="0.7" top="0.75" bottom="0.75" header="0.3" footer="0.3"/>
  <drawing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G15" sqref="G15"/>
    </sheetView>
  </sheetViews>
  <sheetFormatPr defaultRowHeight="12.75" x14ac:dyDescent="0.2"/>
  <cols>
    <col min="1" max="1" width="10" customWidth="1"/>
    <col min="2" max="2" width="8.85546875" bestFit="1" customWidth="1"/>
    <col min="3" max="3" width="10.28515625" customWidth="1"/>
    <col min="4" max="4" width="24.5703125" customWidth="1"/>
    <col min="5" max="5" width="24.42578125" customWidth="1"/>
    <col min="7" max="7" width="9.7109375" customWidth="1"/>
    <col min="8" max="8" width="17.140625" customWidth="1"/>
  </cols>
  <sheetData>
    <row r="1" spans="1:8" x14ac:dyDescent="0.2">
      <c r="A1" t="s">
        <v>484</v>
      </c>
      <c r="B1" t="s">
        <v>485</v>
      </c>
      <c r="C1" t="s">
        <v>486</v>
      </c>
      <c r="D1" t="s">
        <v>487</v>
      </c>
      <c r="E1" t="s">
        <v>488</v>
      </c>
      <c r="G1" t="s">
        <v>489</v>
      </c>
      <c r="H1" t="s">
        <v>490</v>
      </c>
    </row>
    <row r="2" spans="1:8" x14ac:dyDescent="0.2">
      <c r="A2">
        <v>2014</v>
      </c>
      <c r="B2" s="248">
        <v>3629300</v>
      </c>
      <c r="G2" t="s">
        <v>491</v>
      </c>
      <c r="H2" s="249">
        <f>_xlfn.FORECAST.ETS.STAT($B$2:$B$7,$A$2:$A$7,1,1,1)</f>
        <v>0.5</v>
      </c>
    </row>
    <row r="3" spans="1:8" x14ac:dyDescent="0.2">
      <c r="A3">
        <v>2015</v>
      </c>
      <c r="B3" s="248">
        <v>4350000</v>
      </c>
      <c r="G3" t="s">
        <v>492</v>
      </c>
      <c r="H3" s="249">
        <f>_xlfn.FORECAST.ETS.STAT($B$2:$B$7,$A$2:$A$7,2,1,1)</f>
        <v>1E-3</v>
      </c>
    </row>
    <row r="4" spans="1:8" x14ac:dyDescent="0.2">
      <c r="A4">
        <v>2016</v>
      </c>
      <c r="B4" s="248">
        <v>4760000</v>
      </c>
      <c r="G4" t="s">
        <v>493</v>
      </c>
      <c r="H4" s="249">
        <f>_xlfn.FORECAST.ETS.STAT($B$2:$B$7,$A$2:$A$7,3,1,1)</f>
        <v>2.2204460492503131E-16</v>
      </c>
    </row>
    <row r="5" spans="1:8" x14ac:dyDescent="0.2">
      <c r="A5">
        <v>2017</v>
      </c>
      <c r="B5" s="248">
        <v>5890000</v>
      </c>
      <c r="G5" t="s">
        <v>494</v>
      </c>
      <c r="H5" s="249">
        <f>_xlfn.FORECAST.ETS.STAT($B$2:$B$7,$A$2:$A$7,4,1,1)</f>
        <v>0.7398086800598197</v>
      </c>
    </row>
    <row r="6" spans="1:8" x14ac:dyDescent="0.2">
      <c r="A6">
        <v>2018</v>
      </c>
      <c r="B6" s="248">
        <v>5182109</v>
      </c>
      <c r="G6" t="s">
        <v>495</v>
      </c>
      <c r="H6" s="249">
        <f>_xlfn.FORECAST.ETS.STAT($B$2:$B$7,$A$2:$A$7,5,1,1)</f>
        <v>8.9148693573213575E-2</v>
      </c>
    </row>
    <row r="7" spans="1:8" x14ac:dyDescent="0.2">
      <c r="A7">
        <v>2019</v>
      </c>
      <c r="B7" s="248">
        <v>5271581</v>
      </c>
      <c r="C7" s="248">
        <v>5271581</v>
      </c>
      <c r="D7" s="248">
        <v>5271581</v>
      </c>
      <c r="E7" s="248">
        <v>5271581</v>
      </c>
      <c r="G7" t="s">
        <v>496</v>
      </c>
      <c r="H7" s="249">
        <f>_xlfn.FORECAST.ETS.STAT($B$2:$B$7,$A$2:$A$7,6,1,1)</f>
        <v>452476.31031395448</v>
      </c>
    </row>
    <row r="8" spans="1:8" x14ac:dyDescent="0.2">
      <c r="A8">
        <v>2020</v>
      </c>
      <c r="C8" s="248">
        <f>_xlfn.FORECAST.ETS(A8,$B$2:$B$7,$A$2:$A$7,1,1)</f>
        <v>5803683.8767612455</v>
      </c>
      <c r="D8" s="248">
        <f>C8-_xlfn.FORECAST.ETS.CONFINT(A8,$B$2:$B$7,$A$2:$A$7,0.95,1,1)</f>
        <v>4746419.1226002946</v>
      </c>
      <c r="E8" s="248">
        <f>C8+_xlfn.FORECAST.ETS.CONFINT(A8,$B$2:$B$7,$A$2:$A$7,0.95,1,1)</f>
        <v>6860948.6309221964</v>
      </c>
      <c r="G8" t="s">
        <v>497</v>
      </c>
      <c r="H8" s="249">
        <f>_xlfn.FORECAST.ETS.STAT($B$2:$B$7,$A$2:$A$7,7,1,1)</f>
        <v>539430.70510505338</v>
      </c>
    </row>
    <row r="9" spans="1:8" x14ac:dyDescent="0.2">
      <c r="A9">
        <v>2021</v>
      </c>
      <c r="C9" s="248">
        <f>_xlfn.FORECAST.ETS(A9,$B$2:$B$7,$A$2:$A$7,1,1)</f>
        <v>6102773.1712489873</v>
      </c>
      <c r="D9" s="248">
        <f>C9-_xlfn.FORECAST.ETS.CONFINT(A9,$B$2:$B$7,$A$2:$A$7,0.95,1,1)</f>
        <v>4920242.0397104044</v>
      </c>
      <c r="E9" s="248">
        <f>C9+_xlfn.FORECAST.ETS.CONFINT(A9,$B$2:$B$7,$A$2:$A$7,0.95,1,1)</f>
        <v>7285304.3027875703</v>
      </c>
    </row>
  </sheetData>
  <pageMargins left="0.7" right="0.7" top="0.75" bottom="0.75" header="0.3" footer="0.3"/>
  <drawing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C0F065565A4BA4CA4B064D4BB7EB3D0" ma:contentTypeVersion="12" ma:contentTypeDescription="Create a new document." ma:contentTypeScope="" ma:versionID="9148f993a66bf35f5713cb04ddbda211">
  <xsd:schema xmlns:xsd="http://www.w3.org/2001/XMLSchema" xmlns:xs="http://www.w3.org/2001/XMLSchema" xmlns:p="http://schemas.microsoft.com/office/2006/metadata/properties" xmlns:ns3="5ec70139-ef2b-4c8e-8e54-7a9967574b5c" xmlns:ns4="84161bce-f83e-4edc-8d44-2b5a66552ea9" targetNamespace="http://schemas.microsoft.com/office/2006/metadata/properties" ma:root="true" ma:fieldsID="1b62dc847a063f8872a43733b0a6f26a" ns3:_="" ns4:_="">
    <xsd:import namespace="5ec70139-ef2b-4c8e-8e54-7a9967574b5c"/>
    <xsd:import namespace="84161bce-f83e-4edc-8d44-2b5a66552e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AutoKeyPoints" minOccurs="0"/>
                <xsd:element ref="ns3:MediaServiceKeyPoint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c70139-ef2b-4c8e-8e54-7a9967574b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161bce-f83e-4edc-8d44-2b5a66552ea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FCB60A-3A07-4A2A-87AE-BD65862655E7}">
  <ds:schemaRefs>
    <ds:schemaRef ds:uri="http://schemas.microsoft.com/sharepoint/v3/contenttype/forms"/>
  </ds:schemaRefs>
</ds:datastoreItem>
</file>

<file path=customXml/itemProps2.xml><?xml version="1.0" encoding="utf-8"?>
<ds:datastoreItem xmlns:ds="http://schemas.openxmlformats.org/officeDocument/2006/customXml" ds:itemID="{BBAAE08D-4016-4DCF-9FE1-4F5A7384B2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c70139-ef2b-4c8e-8e54-7a9967574b5c"/>
    <ds:schemaRef ds:uri="84161bce-f83e-4edc-8d44-2b5a66552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7552E3-0208-4395-9629-BBFB1F780505}">
  <ds:schemaRefs>
    <ds:schemaRef ds:uri="http://purl.org/dc/elements/1.1/"/>
    <ds:schemaRef ds:uri="84161bce-f83e-4edc-8d44-2b5a66552ea9"/>
    <ds:schemaRef ds:uri="http://www.w3.org/XML/1998/namespace"/>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5ec70139-ef2b-4c8e-8e54-7a9967574b5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Issue_option</vt:lpstr>
      <vt:lpstr>Cost_benefit</vt:lpstr>
      <vt:lpstr>PL1-Dữ liệu</vt:lpstr>
      <vt:lpstr>PL2-Bảng tính</vt:lpstr>
      <vt:lpstr>Bảng hỏi</vt:lpstr>
      <vt:lpstr>PL3-VBPL</vt:lpstr>
      <vt:lpstr>Thời gian KTCN theo địa phương</vt:lpstr>
      <vt:lpstr>Forecast XK</vt:lpstr>
      <vt:lpstr>Forecast NK</vt:lpstr>
      <vt:lpstr>Vấn đề 2</vt:lpstr>
      <vt:lpstr>Van de 6(1)</vt:lpstr>
      <vt:lpstr>'Thời gian KTCN theo địa phương'!_Toc28701856</vt:lpstr>
      <vt:lpstr>'PL1-Dữ liệu'!Print_Area</vt:lpstr>
      <vt:lpstr>'PL2-Bảng tính'!Print_Area</vt:lpstr>
      <vt:lpstr>'PL3-VBPL'!Print_Area</vt:lpstr>
      <vt:lpstr>'Vấn đề 2'!Print_Area</vt:lpstr>
      <vt:lpstr>'Van de 6(1)'!Print_Area</vt:lpstr>
      <vt:lpstr>'PL1-Dữ liệu'!Print_Titles</vt:lpstr>
      <vt:lpstr>'PL2-Bảng tính'!Print_Titles</vt:lpstr>
      <vt:lpstr>'Vấn đề 2'!Print_Titles</vt:lpstr>
      <vt:lpstr>'Van de 6(1)'!Print_Titles</vt:lpstr>
    </vt:vector>
  </TitlesOfParts>
  <Company>CIEM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Duc Hieu</dc:creator>
  <cp:lastModifiedBy>Thu Ha</cp:lastModifiedBy>
  <cp:lastPrinted>2023-02-15T05:35:11Z</cp:lastPrinted>
  <dcterms:created xsi:type="dcterms:W3CDTF">2009-06-04T03:04:51Z</dcterms:created>
  <dcterms:modified xsi:type="dcterms:W3CDTF">2023-02-15T05:35:28Z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0x010100AC0F065565A4BA4CA4B064D4BB7EB3D0</vt:lpwstr>
  </property>
</Properties>
</file>